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600" windowHeight="9060" activeTab="2"/>
  </bookViews>
  <sheets>
    <sheet name="資料登打" sheetId="2" r:id="rId1"/>
    <sheet name="加班請示單" sheetId="1" r:id="rId2"/>
    <sheet name="簽到簿" sheetId="5" r:id="rId3"/>
    <sheet name="加班費印領清冊" sheetId="4" r:id="rId4"/>
  </sheets>
  <definedNames>
    <definedName name="_xlnm.Print_Area" localSheetId="3">加班費印領清冊!$A$1:$N$19</definedName>
    <definedName name="印1">簽到簿!$D$2:$V$72</definedName>
    <definedName name="印2">簽到簿!$A$2:$V$89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C15" i="2"/>
  <c r="C17" i="2"/>
  <c r="C19" i="2"/>
  <c r="C21" i="2"/>
  <c r="C23" i="2"/>
  <c r="C25" i="2"/>
  <c r="C27" i="2"/>
  <c r="C29" i="2"/>
  <c r="H29" i="2"/>
  <c r="G29" i="2"/>
  <c r="F29" i="2"/>
  <c r="E29" i="2"/>
  <c r="D29" i="2"/>
  <c r="B29" i="2"/>
  <c r="H27" i="2"/>
  <c r="G27" i="2"/>
  <c r="F27" i="2"/>
  <c r="E27" i="2"/>
  <c r="D27" i="2"/>
  <c r="B27" i="2"/>
  <c r="H25" i="2"/>
  <c r="G25" i="2"/>
  <c r="F25" i="2"/>
  <c r="E25" i="2"/>
  <c r="D25" i="2"/>
  <c r="B25" i="2"/>
  <c r="H23" i="2"/>
  <c r="G23" i="2"/>
  <c r="F23" i="2"/>
  <c r="E23" i="2"/>
  <c r="D23" i="2"/>
  <c r="B23" i="2"/>
  <c r="H21" i="2"/>
  <c r="G21" i="2"/>
  <c r="F21" i="2"/>
  <c r="E21" i="2"/>
  <c r="D21" i="2"/>
  <c r="B21" i="2"/>
  <c r="H19" i="2"/>
  <c r="G19" i="2"/>
  <c r="F19" i="2"/>
  <c r="E19" i="2"/>
  <c r="D19" i="2"/>
  <c r="B19" i="2"/>
  <c r="D17" i="2"/>
  <c r="E17" i="2"/>
  <c r="F17" i="2"/>
  <c r="G17" i="2"/>
  <c r="H17" i="2"/>
  <c r="D15" i="2"/>
  <c r="E15" i="2"/>
  <c r="F15" i="2"/>
  <c r="G15" i="2"/>
  <c r="H15" i="2"/>
  <c r="D13" i="2"/>
  <c r="E13" i="2"/>
  <c r="F13" i="2"/>
  <c r="G13" i="2"/>
  <c r="H13" i="2"/>
  <c r="Y1" i="5" l="1"/>
  <c r="V63" i="5"/>
  <c r="U63" i="5"/>
  <c r="T63" i="5"/>
  <c r="V53" i="5"/>
  <c r="U53" i="5"/>
  <c r="T53" i="5"/>
  <c r="V43" i="5"/>
  <c r="U43" i="5"/>
  <c r="T43" i="5"/>
  <c r="V33" i="5"/>
  <c r="U33" i="5"/>
  <c r="T33" i="5"/>
  <c r="V23" i="5"/>
  <c r="U23" i="5"/>
  <c r="T23" i="5"/>
  <c r="V13" i="5"/>
  <c r="U13" i="5"/>
  <c r="T13" i="5"/>
  <c r="V3" i="5"/>
  <c r="U3" i="5"/>
  <c r="T3" i="5"/>
  <c r="R63" i="5"/>
  <c r="R53" i="5"/>
  <c r="R43" i="5"/>
  <c r="R33" i="5"/>
  <c r="R23" i="5"/>
  <c r="R13" i="5"/>
  <c r="R3" i="5"/>
  <c r="G64" i="5"/>
  <c r="G65" i="5"/>
  <c r="G66" i="5"/>
  <c r="G67" i="5"/>
  <c r="G68" i="5"/>
  <c r="G69" i="5"/>
  <c r="G70" i="5"/>
  <c r="G71" i="5"/>
  <c r="G72" i="5"/>
  <c r="G54" i="5"/>
  <c r="G55" i="5"/>
  <c r="G56" i="5"/>
  <c r="G57" i="5"/>
  <c r="G58" i="5"/>
  <c r="G59" i="5"/>
  <c r="G60" i="5"/>
  <c r="G61" i="5"/>
  <c r="G62" i="5"/>
  <c r="G44" i="5"/>
  <c r="G45" i="5"/>
  <c r="G46" i="5"/>
  <c r="G47" i="5"/>
  <c r="G48" i="5"/>
  <c r="G49" i="5"/>
  <c r="G50" i="5"/>
  <c r="G51" i="5"/>
  <c r="G52" i="5"/>
  <c r="G34" i="5"/>
  <c r="G35" i="5"/>
  <c r="G36" i="5"/>
  <c r="G37" i="5"/>
  <c r="G38" i="5"/>
  <c r="G39" i="5"/>
  <c r="G40" i="5"/>
  <c r="G41" i="5"/>
  <c r="G42" i="5"/>
  <c r="G24" i="5"/>
  <c r="G25" i="5"/>
  <c r="G26" i="5"/>
  <c r="G27" i="5"/>
  <c r="G28" i="5"/>
  <c r="G29" i="5"/>
  <c r="G30" i="5"/>
  <c r="G31" i="5"/>
  <c r="G32" i="5"/>
  <c r="G14" i="5"/>
  <c r="G15" i="5"/>
  <c r="G16" i="5"/>
  <c r="G17" i="5"/>
  <c r="G18" i="5"/>
  <c r="G19" i="5"/>
  <c r="G20" i="5"/>
  <c r="G21" i="5"/>
  <c r="G22" i="5"/>
  <c r="G4" i="5"/>
  <c r="G5" i="5"/>
  <c r="G6" i="5"/>
  <c r="G7" i="5"/>
  <c r="G8" i="5"/>
  <c r="G9" i="5"/>
  <c r="G10" i="5"/>
  <c r="G11" i="5"/>
  <c r="G12" i="5"/>
  <c r="N72" i="5" l="1"/>
  <c r="M72" i="5"/>
  <c r="N71" i="5"/>
  <c r="M71" i="5"/>
  <c r="N70" i="5"/>
  <c r="M70" i="5"/>
  <c r="N69" i="5"/>
  <c r="M69" i="5"/>
  <c r="N68" i="5"/>
  <c r="M68" i="5"/>
  <c r="N67" i="5"/>
  <c r="M67" i="5"/>
  <c r="N66" i="5"/>
  <c r="M66" i="5"/>
  <c r="N65" i="5"/>
  <c r="M65" i="5"/>
  <c r="N64" i="5"/>
  <c r="M64" i="5"/>
  <c r="N63" i="5"/>
  <c r="M63" i="5"/>
  <c r="N62" i="5"/>
  <c r="M62" i="5"/>
  <c r="N61" i="5"/>
  <c r="M61" i="5"/>
  <c r="N60" i="5"/>
  <c r="M60" i="5"/>
  <c r="N59" i="5"/>
  <c r="M59" i="5"/>
  <c r="N58" i="5"/>
  <c r="M58" i="5"/>
  <c r="N57" i="5"/>
  <c r="M57" i="5"/>
  <c r="N56" i="5"/>
  <c r="M56" i="5"/>
  <c r="N55" i="5"/>
  <c r="M55" i="5"/>
  <c r="N54" i="5"/>
  <c r="M54" i="5"/>
  <c r="N53" i="5"/>
  <c r="M53" i="5"/>
  <c r="N52" i="5"/>
  <c r="M52" i="5"/>
  <c r="N51" i="5"/>
  <c r="M51" i="5"/>
  <c r="N50" i="5"/>
  <c r="M50" i="5"/>
  <c r="N49" i="5"/>
  <c r="M49" i="5"/>
  <c r="N48" i="5"/>
  <c r="M48" i="5"/>
  <c r="N47" i="5"/>
  <c r="M47" i="5"/>
  <c r="N46" i="5"/>
  <c r="M46" i="5"/>
  <c r="N45" i="5"/>
  <c r="M45" i="5"/>
  <c r="N44" i="5"/>
  <c r="M44" i="5"/>
  <c r="N43" i="5"/>
  <c r="M43" i="5"/>
  <c r="N42" i="5"/>
  <c r="M42" i="5"/>
  <c r="N41" i="5"/>
  <c r="M41" i="5"/>
  <c r="N40" i="5"/>
  <c r="M40" i="5"/>
  <c r="N39" i="5"/>
  <c r="M39" i="5"/>
  <c r="N38" i="5"/>
  <c r="M38" i="5"/>
  <c r="N37" i="5"/>
  <c r="M37" i="5"/>
  <c r="N36" i="5"/>
  <c r="M36" i="5"/>
  <c r="N35" i="5"/>
  <c r="M35" i="5"/>
  <c r="N34" i="5"/>
  <c r="M34" i="5"/>
  <c r="N33" i="5"/>
  <c r="M33" i="5"/>
  <c r="N32" i="5"/>
  <c r="M32" i="5"/>
  <c r="N31" i="5"/>
  <c r="M31" i="5"/>
  <c r="N30" i="5"/>
  <c r="M30" i="5"/>
  <c r="N29" i="5"/>
  <c r="M29" i="5"/>
  <c r="N28" i="5"/>
  <c r="M28" i="5"/>
  <c r="N27" i="5"/>
  <c r="M27" i="5"/>
  <c r="N26" i="5"/>
  <c r="M26" i="5"/>
  <c r="N25" i="5"/>
  <c r="M25" i="5"/>
  <c r="N24" i="5"/>
  <c r="M24" i="5"/>
  <c r="N23" i="5"/>
  <c r="M23" i="5"/>
  <c r="N22" i="5"/>
  <c r="M22" i="5"/>
  <c r="N21" i="5"/>
  <c r="M21" i="5"/>
  <c r="N20" i="5"/>
  <c r="M20" i="5"/>
  <c r="N19" i="5"/>
  <c r="M19" i="5"/>
  <c r="N18" i="5"/>
  <c r="M18" i="5"/>
  <c r="N17" i="5"/>
  <c r="M17" i="5"/>
  <c r="N16" i="5"/>
  <c r="M16" i="5"/>
  <c r="N15" i="5"/>
  <c r="M15" i="5"/>
  <c r="N14" i="5"/>
  <c r="M14" i="5"/>
  <c r="N13" i="5"/>
  <c r="M13" i="5"/>
  <c r="N12" i="5"/>
  <c r="M12" i="5"/>
  <c r="N11" i="5"/>
  <c r="M11" i="5"/>
  <c r="N10" i="5"/>
  <c r="M10" i="5"/>
  <c r="N9" i="5"/>
  <c r="M9" i="5"/>
  <c r="N8" i="5"/>
  <c r="M8" i="5"/>
  <c r="N7" i="5"/>
  <c r="M7" i="5"/>
  <c r="N6" i="5"/>
  <c r="M6" i="5"/>
  <c r="N5" i="5"/>
  <c r="M5" i="5"/>
  <c r="N4" i="5"/>
  <c r="M4" i="5"/>
  <c r="N3" i="5"/>
  <c r="M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4" i="5"/>
  <c r="J35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I72" i="5"/>
  <c r="F72" i="5" s="1"/>
  <c r="I71" i="5"/>
  <c r="F71" i="5" s="1"/>
  <c r="I70" i="5"/>
  <c r="F70" i="5" s="1"/>
  <c r="I69" i="5"/>
  <c r="F69" i="5" s="1"/>
  <c r="I68" i="5"/>
  <c r="F68" i="5" s="1"/>
  <c r="I67" i="5"/>
  <c r="F67" i="5" s="1"/>
  <c r="I66" i="5"/>
  <c r="F66" i="5" s="1"/>
  <c r="I65" i="5"/>
  <c r="F65" i="5" s="1"/>
  <c r="I64" i="5"/>
  <c r="F64" i="5" s="1"/>
  <c r="I63" i="5"/>
  <c r="C63" i="5" s="1"/>
  <c r="I62" i="5"/>
  <c r="F62" i="5" s="1"/>
  <c r="I61" i="5"/>
  <c r="F61" i="5" s="1"/>
  <c r="I60" i="5"/>
  <c r="F60" i="5" s="1"/>
  <c r="I59" i="5"/>
  <c r="F59" i="5" s="1"/>
  <c r="I58" i="5"/>
  <c r="F58" i="5" s="1"/>
  <c r="I57" i="5"/>
  <c r="F57" i="5" s="1"/>
  <c r="I56" i="5"/>
  <c r="F56" i="5" s="1"/>
  <c r="I55" i="5"/>
  <c r="F55" i="5" s="1"/>
  <c r="I54" i="5"/>
  <c r="F54" i="5" s="1"/>
  <c r="I53" i="5"/>
  <c r="C53" i="5" s="1"/>
  <c r="I52" i="5"/>
  <c r="F52" i="5" s="1"/>
  <c r="I51" i="5"/>
  <c r="F51" i="5" s="1"/>
  <c r="I50" i="5"/>
  <c r="F50" i="5" s="1"/>
  <c r="I49" i="5"/>
  <c r="F49" i="5" s="1"/>
  <c r="I48" i="5"/>
  <c r="F48" i="5" s="1"/>
  <c r="I47" i="5"/>
  <c r="F47" i="5" s="1"/>
  <c r="I46" i="5"/>
  <c r="F46" i="5" s="1"/>
  <c r="I45" i="5"/>
  <c r="F45" i="5" s="1"/>
  <c r="I44" i="5"/>
  <c r="F44" i="5" s="1"/>
  <c r="I43" i="5"/>
  <c r="C43" i="5" s="1"/>
  <c r="I42" i="5"/>
  <c r="F42" i="5" s="1"/>
  <c r="I41" i="5"/>
  <c r="F41" i="5" s="1"/>
  <c r="I40" i="5"/>
  <c r="F40" i="5" s="1"/>
  <c r="I39" i="5"/>
  <c r="F39" i="5" s="1"/>
  <c r="I38" i="5"/>
  <c r="F38" i="5" s="1"/>
  <c r="I37" i="5"/>
  <c r="F37" i="5" s="1"/>
  <c r="I36" i="5"/>
  <c r="F36" i="5" s="1"/>
  <c r="I35" i="5"/>
  <c r="F35" i="5" s="1"/>
  <c r="I34" i="5"/>
  <c r="F34" i="5" s="1"/>
  <c r="I33" i="5"/>
  <c r="C33" i="5" s="1"/>
  <c r="I32" i="5"/>
  <c r="F32" i="5" s="1"/>
  <c r="I31" i="5"/>
  <c r="F31" i="5" s="1"/>
  <c r="I30" i="5"/>
  <c r="F30" i="5" s="1"/>
  <c r="I29" i="5"/>
  <c r="F29" i="5" s="1"/>
  <c r="I28" i="5"/>
  <c r="F28" i="5" s="1"/>
  <c r="I27" i="5"/>
  <c r="F27" i="5" s="1"/>
  <c r="I26" i="5"/>
  <c r="F26" i="5" s="1"/>
  <c r="I25" i="5"/>
  <c r="F25" i="5" s="1"/>
  <c r="I24" i="5"/>
  <c r="F24" i="5" s="1"/>
  <c r="I23" i="5"/>
  <c r="C23" i="5" s="1"/>
  <c r="I22" i="5"/>
  <c r="F22" i="5" s="1"/>
  <c r="I21" i="5"/>
  <c r="F21" i="5" s="1"/>
  <c r="I20" i="5"/>
  <c r="F20" i="5" s="1"/>
  <c r="I19" i="5"/>
  <c r="F19" i="5" s="1"/>
  <c r="I18" i="5"/>
  <c r="F18" i="5" s="1"/>
  <c r="I17" i="5"/>
  <c r="F17" i="5" s="1"/>
  <c r="I16" i="5"/>
  <c r="F16" i="5" s="1"/>
  <c r="I15" i="5"/>
  <c r="F15" i="5" s="1"/>
  <c r="I14" i="5"/>
  <c r="F14" i="5" s="1"/>
  <c r="I13" i="5"/>
  <c r="C13" i="5" s="1"/>
  <c r="I12" i="5"/>
  <c r="F12" i="5" s="1"/>
  <c r="I11" i="5"/>
  <c r="F11" i="5" s="1"/>
  <c r="I10" i="5"/>
  <c r="F10" i="5" s="1"/>
  <c r="I9" i="5"/>
  <c r="F9" i="5" s="1"/>
  <c r="I8" i="5"/>
  <c r="F8" i="5" s="1"/>
  <c r="I7" i="5"/>
  <c r="F7" i="5" s="1"/>
  <c r="I6" i="5"/>
  <c r="F6" i="5" s="1"/>
  <c r="I5" i="5"/>
  <c r="F5" i="5" s="1"/>
  <c r="I4" i="5"/>
  <c r="F4" i="5" s="1"/>
  <c r="I3" i="5"/>
  <c r="C3" i="5" s="1"/>
  <c r="G63" i="5"/>
  <c r="G23" i="5"/>
  <c r="G33" i="5"/>
  <c r="G43" i="5"/>
  <c r="G53" i="5"/>
  <c r="G13" i="5"/>
  <c r="G3" i="5"/>
  <c r="C2" i="4"/>
  <c r="A3" i="4"/>
  <c r="J7" i="4"/>
  <c r="A2" i="1"/>
  <c r="S13" i="5"/>
  <c r="S53" i="5"/>
  <c r="B17" i="2"/>
  <c r="B15" i="2"/>
  <c r="S23" i="5"/>
  <c r="B13" i="2"/>
  <c r="C9" i="2"/>
  <c r="C10" i="2" s="1"/>
  <c r="Q13" i="5" s="1"/>
  <c r="D9" i="2"/>
  <c r="D10" i="2" s="1"/>
  <c r="Q23" i="5" s="1"/>
  <c r="E9" i="2"/>
  <c r="E10" i="2" s="1"/>
  <c r="Q33" i="5" s="1"/>
  <c r="F9" i="2"/>
  <c r="F10" i="2" s="1"/>
  <c r="Q43" i="5" s="1"/>
  <c r="G9" i="2"/>
  <c r="G10" i="2" s="1"/>
  <c r="Q53" i="5" s="1"/>
  <c r="H9" i="2"/>
  <c r="H10" i="2" s="1"/>
  <c r="Q63" i="5" s="1"/>
  <c r="C31" i="2"/>
  <c r="D31" i="2"/>
  <c r="E31" i="2"/>
  <c r="F31" i="2"/>
  <c r="G31" i="2"/>
  <c r="H31" i="2"/>
  <c r="C32" i="2"/>
  <c r="D32" i="2"/>
  <c r="E32" i="2"/>
  <c r="F32" i="2"/>
  <c r="G32" i="2"/>
  <c r="H32" i="2"/>
  <c r="C33" i="2"/>
  <c r="D33" i="2"/>
  <c r="E33" i="2"/>
  <c r="F33" i="2"/>
  <c r="G33" i="2"/>
  <c r="H33" i="2"/>
  <c r="C34" i="2"/>
  <c r="D34" i="2"/>
  <c r="E34" i="2"/>
  <c r="F34" i="2"/>
  <c r="G34" i="2"/>
  <c r="H34" i="2"/>
  <c r="C35" i="2"/>
  <c r="D35" i="2"/>
  <c r="E35" i="2"/>
  <c r="F35" i="2"/>
  <c r="G35" i="2"/>
  <c r="H35" i="2"/>
  <c r="C36" i="2"/>
  <c r="D36" i="2"/>
  <c r="E36" i="2"/>
  <c r="F36" i="2"/>
  <c r="G36" i="2"/>
  <c r="H36" i="2"/>
  <c r="C37" i="2"/>
  <c r="D37" i="2"/>
  <c r="E37" i="2"/>
  <c r="F37" i="2"/>
  <c r="G37" i="2"/>
  <c r="H37" i="2"/>
  <c r="C38" i="2"/>
  <c r="D38" i="2"/>
  <c r="E38" i="2"/>
  <c r="F38" i="2"/>
  <c r="G38" i="2"/>
  <c r="H38" i="2"/>
  <c r="C39" i="2"/>
  <c r="D39" i="2"/>
  <c r="E39" i="2"/>
  <c r="F39" i="2"/>
  <c r="G39" i="2"/>
  <c r="H39" i="2"/>
  <c r="C40" i="2"/>
  <c r="D40" i="2"/>
  <c r="E40" i="2"/>
  <c r="F40" i="2"/>
  <c r="G40" i="2"/>
  <c r="H40" i="2"/>
  <c r="B32" i="2"/>
  <c r="B33" i="2"/>
  <c r="B34" i="2"/>
  <c r="B35" i="2"/>
  <c r="B36" i="2"/>
  <c r="B37" i="2"/>
  <c r="B38" i="2"/>
  <c r="B39" i="2"/>
  <c r="B40" i="2"/>
  <c r="B31" i="2"/>
  <c r="B9" i="2"/>
  <c r="B10" i="2" s="1"/>
  <c r="Q3" i="5" s="1"/>
  <c r="S33" i="5" l="1"/>
  <c r="S63" i="5"/>
  <c r="B5" i="5"/>
  <c r="A5" i="5" s="1"/>
  <c r="B9" i="5"/>
  <c r="A9" i="5" s="1"/>
  <c r="B3" i="5"/>
  <c r="A3" i="5" s="1"/>
  <c r="B6" i="5"/>
  <c r="A6" i="5" s="1"/>
  <c r="B10" i="5"/>
  <c r="A10" i="5" s="1"/>
  <c r="B7" i="5"/>
  <c r="A7" i="5" s="1"/>
  <c r="B11" i="5"/>
  <c r="A11" i="5" s="1"/>
  <c r="B4" i="5"/>
  <c r="A4" i="5" s="1"/>
  <c r="B8" i="5"/>
  <c r="A8" i="5" s="1"/>
  <c r="B12" i="5"/>
  <c r="A12" i="5" s="1"/>
  <c r="S3" i="5"/>
  <c r="B15" i="5"/>
  <c r="A15" i="5" s="1"/>
  <c r="B19" i="5"/>
  <c r="A19" i="5" s="1"/>
  <c r="B16" i="5"/>
  <c r="A16" i="5" s="1"/>
  <c r="B20" i="5"/>
  <c r="A20" i="5" s="1"/>
  <c r="B13" i="5"/>
  <c r="A13" i="5" s="1"/>
  <c r="B17" i="5"/>
  <c r="A17" i="5" s="1"/>
  <c r="B21" i="5"/>
  <c r="A21" i="5" s="1"/>
  <c r="B14" i="5"/>
  <c r="A14" i="5" s="1"/>
  <c r="B18" i="5"/>
  <c r="A18" i="5" s="1"/>
  <c r="B22" i="5"/>
  <c r="A22" i="5" s="1"/>
  <c r="I31" i="2"/>
  <c r="B24" i="5"/>
  <c r="A24" i="5" s="1"/>
  <c r="B28" i="5"/>
  <c r="A28" i="5" s="1"/>
  <c r="B32" i="5"/>
  <c r="A32" i="5" s="1"/>
  <c r="B36" i="5"/>
  <c r="A36" i="5" s="1"/>
  <c r="B40" i="5"/>
  <c r="A40" i="5" s="1"/>
  <c r="B25" i="5"/>
  <c r="A25" i="5" s="1"/>
  <c r="B29" i="5"/>
  <c r="A29" i="5" s="1"/>
  <c r="B33" i="5"/>
  <c r="A33" i="5" s="1"/>
  <c r="B37" i="5"/>
  <c r="A37" i="5" s="1"/>
  <c r="B41" i="5"/>
  <c r="A41" i="5" s="1"/>
  <c r="B26" i="5"/>
  <c r="A26" i="5" s="1"/>
  <c r="B30" i="5"/>
  <c r="A30" i="5" s="1"/>
  <c r="B34" i="5"/>
  <c r="A34" i="5" s="1"/>
  <c r="B38" i="5"/>
  <c r="A38" i="5" s="1"/>
  <c r="B42" i="5"/>
  <c r="A42" i="5" s="1"/>
  <c r="B23" i="5"/>
  <c r="A23" i="5" s="1"/>
  <c r="B27" i="5"/>
  <c r="A27" i="5" s="1"/>
  <c r="B31" i="5"/>
  <c r="A31" i="5" s="1"/>
  <c r="B35" i="5"/>
  <c r="A35" i="5" s="1"/>
  <c r="B39" i="5"/>
  <c r="A39" i="5" s="1"/>
  <c r="S43" i="5"/>
  <c r="B43" i="5"/>
  <c r="B47" i="5"/>
  <c r="A47" i="5" s="1"/>
  <c r="B51" i="5"/>
  <c r="A51" i="5" s="1"/>
  <c r="B55" i="5"/>
  <c r="A55" i="5" s="1"/>
  <c r="B59" i="5"/>
  <c r="A59" i="5" s="1"/>
  <c r="B63" i="5"/>
  <c r="A63" i="5" s="1"/>
  <c r="B67" i="5"/>
  <c r="A67" i="5" s="1"/>
  <c r="B71" i="5"/>
  <c r="A71" i="5" s="1"/>
  <c r="B44" i="5"/>
  <c r="A44" i="5" s="1"/>
  <c r="B48" i="5"/>
  <c r="A48" i="5" s="1"/>
  <c r="B52" i="5"/>
  <c r="A52" i="5" s="1"/>
  <c r="B56" i="5"/>
  <c r="A56" i="5" s="1"/>
  <c r="B60" i="5"/>
  <c r="A60" i="5" s="1"/>
  <c r="B64" i="5"/>
  <c r="A64" i="5" s="1"/>
  <c r="B68" i="5"/>
  <c r="A68" i="5" s="1"/>
  <c r="B72" i="5"/>
  <c r="A72" i="5" s="1"/>
  <c r="A43" i="5"/>
  <c r="B49" i="5"/>
  <c r="A49" i="5" s="1"/>
  <c r="B57" i="5"/>
  <c r="A57" i="5" s="1"/>
  <c r="B65" i="5"/>
  <c r="A65" i="5" s="1"/>
  <c r="B58" i="5"/>
  <c r="A58" i="5" s="1"/>
  <c r="B45" i="5"/>
  <c r="A45" i="5" s="1"/>
  <c r="B61" i="5"/>
  <c r="A61" i="5" s="1"/>
  <c r="B46" i="5"/>
  <c r="A46" i="5" s="1"/>
  <c r="B54" i="5"/>
  <c r="A54" i="5" s="1"/>
  <c r="B62" i="5"/>
  <c r="A62" i="5" s="1"/>
  <c r="B70" i="5"/>
  <c r="A70" i="5" s="1"/>
  <c r="B50" i="5"/>
  <c r="A50" i="5" s="1"/>
  <c r="B66" i="5"/>
  <c r="A66" i="5" s="1"/>
  <c r="B53" i="5"/>
  <c r="A53" i="5" s="1"/>
  <c r="B69" i="5"/>
  <c r="A69" i="5" s="1"/>
  <c r="F13" i="5"/>
  <c r="X31" i="5"/>
  <c r="F33" i="5"/>
  <c r="X33" i="5"/>
  <c r="F53" i="5"/>
  <c r="X35" i="5"/>
  <c r="F3" i="5"/>
  <c r="E9" i="5" s="1"/>
  <c r="D9" i="5" s="1"/>
  <c r="X30" i="5"/>
  <c r="F23" i="5"/>
  <c r="X32" i="5"/>
  <c r="F43" i="5"/>
  <c r="X34" i="5"/>
  <c r="F63" i="5"/>
  <c r="X36" i="5"/>
  <c r="E11" i="5"/>
  <c r="D11" i="5" s="1"/>
  <c r="C11" i="2"/>
  <c r="H11" i="2"/>
  <c r="P63" i="5" s="1"/>
  <c r="G11" i="2"/>
  <c r="P53" i="5" s="1"/>
  <c r="F11" i="2"/>
  <c r="P43" i="5" s="1"/>
  <c r="E11" i="2"/>
  <c r="P33" i="5" s="1"/>
  <c r="D11" i="2"/>
  <c r="P23" i="5" s="1"/>
  <c r="B11" i="2"/>
  <c r="P3" i="5" s="1"/>
  <c r="H15" i="5" l="1"/>
  <c r="P13" i="5"/>
  <c r="E8" i="5"/>
  <c r="D8" i="5" s="1"/>
  <c r="E6" i="5"/>
  <c r="D6" i="5" s="1"/>
  <c r="E21" i="5"/>
  <c r="D21" i="5" s="1"/>
  <c r="E43" i="5"/>
  <c r="D43" i="5" s="1"/>
  <c r="E5" i="5"/>
  <c r="D5" i="5" s="1"/>
  <c r="E10" i="5"/>
  <c r="D10" i="5" s="1"/>
  <c r="E63" i="5"/>
  <c r="D63" i="5" s="1"/>
  <c r="E23" i="5"/>
  <c r="D23" i="5" s="1"/>
  <c r="E53" i="5"/>
  <c r="D53" i="5" s="1"/>
  <c r="E35" i="5"/>
  <c r="D35" i="5" s="1"/>
  <c r="E58" i="5"/>
  <c r="D58" i="5" s="1"/>
  <c r="E52" i="5"/>
  <c r="D52" i="5" s="1"/>
  <c r="E19" i="5"/>
  <c r="D19" i="5" s="1"/>
  <c r="E60" i="5"/>
  <c r="D60" i="5" s="1"/>
  <c r="E42" i="5"/>
  <c r="D42" i="5" s="1"/>
  <c r="E41" i="5"/>
  <c r="D41" i="5" s="1"/>
  <c r="E36" i="5"/>
  <c r="D36" i="5" s="1"/>
  <c r="E64" i="5"/>
  <c r="D64" i="5" s="1"/>
  <c r="E39" i="5"/>
  <c r="D39" i="5" s="1"/>
  <c r="E20" i="5"/>
  <c r="D20" i="5" s="1"/>
  <c r="E26" i="5"/>
  <c r="D26" i="5" s="1"/>
  <c r="E25" i="5"/>
  <c r="D25" i="5" s="1"/>
  <c r="E12" i="5"/>
  <c r="D12" i="5" s="1"/>
  <c r="E59" i="5"/>
  <c r="D59" i="5" s="1"/>
  <c r="E3" i="5"/>
  <c r="D3" i="5" s="1"/>
  <c r="E70" i="5"/>
  <c r="D70" i="5" s="1"/>
  <c r="E54" i="5"/>
  <c r="D54" i="5" s="1"/>
  <c r="E38" i="5"/>
  <c r="D38" i="5" s="1"/>
  <c r="E22" i="5"/>
  <c r="D22" i="5" s="1"/>
  <c r="E37" i="5"/>
  <c r="D37" i="5" s="1"/>
  <c r="E48" i="5"/>
  <c r="D48" i="5" s="1"/>
  <c r="E17" i="5"/>
  <c r="D17" i="5" s="1"/>
  <c r="E71" i="5"/>
  <c r="D71" i="5" s="1"/>
  <c r="E55" i="5"/>
  <c r="D55" i="5" s="1"/>
  <c r="E31" i="5"/>
  <c r="D31" i="5" s="1"/>
  <c r="E15" i="5"/>
  <c r="D15" i="5" s="1"/>
  <c r="E57" i="5"/>
  <c r="D57" i="5" s="1"/>
  <c r="E13" i="5"/>
  <c r="D13" i="5" s="1"/>
  <c r="E32" i="5"/>
  <c r="D32" i="5" s="1"/>
  <c r="E16" i="5"/>
  <c r="D16" i="5" s="1"/>
  <c r="E66" i="5"/>
  <c r="D66" i="5" s="1"/>
  <c r="E50" i="5"/>
  <c r="D50" i="5" s="1"/>
  <c r="E34" i="5"/>
  <c r="D34" i="5" s="1"/>
  <c r="E18" i="5"/>
  <c r="D18" i="5" s="1"/>
  <c r="E69" i="5"/>
  <c r="D69" i="5" s="1"/>
  <c r="E33" i="5"/>
  <c r="D33" i="5" s="1"/>
  <c r="E44" i="5"/>
  <c r="D44" i="5" s="1"/>
  <c r="E28" i="5"/>
  <c r="D28" i="5" s="1"/>
  <c r="E67" i="5"/>
  <c r="D67" i="5" s="1"/>
  <c r="E51" i="5"/>
  <c r="D51" i="5" s="1"/>
  <c r="E27" i="5"/>
  <c r="D27" i="5" s="1"/>
  <c r="E49" i="5"/>
  <c r="D49" i="5" s="1"/>
  <c r="E72" i="5"/>
  <c r="D72" i="5" s="1"/>
  <c r="E24" i="5"/>
  <c r="D24" i="5" s="1"/>
  <c r="E62" i="5"/>
  <c r="D62" i="5" s="1"/>
  <c r="E46" i="5"/>
  <c r="D46" i="5" s="1"/>
  <c r="E30" i="5"/>
  <c r="D30" i="5" s="1"/>
  <c r="E14" i="5"/>
  <c r="D14" i="5" s="1"/>
  <c r="E65" i="5"/>
  <c r="D65" i="5" s="1"/>
  <c r="E29" i="5"/>
  <c r="D29" i="5" s="1"/>
  <c r="E61" i="5"/>
  <c r="D61" i="5" s="1"/>
  <c r="E40" i="5"/>
  <c r="D40" i="5" s="1"/>
  <c r="E4" i="5"/>
  <c r="D4" i="5" s="1"/>
  <c r="E56" i="5"/>
  <c r="D56" i="5" s="1"/>
  <c r="E47" i="5"/>
  <c r="D47" i="5" s="1"/>
  <c r="E7" i="5"/>
  <c r="D7" i="5" s="1"/>
  <c r="E45" i="5"/>
  <c r="D45" i="5" s="1"/>
  <c r="E68" i="5"/>
  <c r="D68" i="5" s="1"/>
  <c r="H61" i="5"/>
  <c r="H57" i="5"/>
  <c r="H53" i="5"/>
  <c r="H60" i="5"/>
  <c r="H56" i="5"/>
  <c r="H59" i="5"/>
  <c r="H55" i="5"/>
  <c r="H62" i="5"/>
  <c r="H58" i="5"/>
  <c r="H54" i="5"/>
  <c r="H42" i="5"/>
  <c r="H38" i="5"/>
  <c r="H34" i="5"/>
  <c r="H41" i="5"/>
  <c r="H37" i="5"/>
  <c r="H33" i="5"/>
  <c r="H40" i="5"/>
  <c r="H36" i="5"/>
  <c r="H39" i="5"/>
  <c r="H35" i="5"/>
  <c r="H32" i="5"/>
  <c r="H28" i="5"/>
  <c r="H24" i="5"/>
  <c r="H31" i="5"/>
  <c r="H27" i="5"/>
  <c r="H23" i="5"/>
  <c r="H30" i="5"/>
  <c r="H26" i="5"/>
  <c r="H29" i="5"/>
  <c r="H25" i="5"/>
  <c r="H50" i="5"/>
  <c r="H46" i="5"/>
  <c r="H47" i="5"/>
  <c r="H49" i="5"/>
  <c r="H45" i="5"/>
  <c r="H52" i="5"/>
  <c r="H48" i="5"/>
  <c r="H44" i="5"/>
  <c r="H51" i="5"/>
  <c r="H43" i="5"/>
  <c r="H9" i="5"/>
  <c r="H5" i="5"/>
  <c r="I11" i="2"/>
  <c r="H71" i="5"/>
  <c r="H67" i="5"/>
  <c r="H63" i="5"/>
  <c r="H70" i="5"/>
  <c r="H66" i="5"/>
  <c r="H69" i="5"/>
  <c r="H65" i="5"/>
  <c r="H72" i="5"/>
  <c r="H68" i="5"/>
  <c r="H64" i="5"/>
  <c r="H20" i="5"/>
  <c r="H16" i="5"/>
  <c r="H19" i="5"/>
  <c r="H14" i="5"/>
  <c r="H22" i="5"/>
  <c r="H18" i="5"/>
  <c r="H13" i="5"/>
  <c r="H21" i="5"/>
  <c r="H17" i="5"/>
  <c r="H12" i="5"/>
  <c r="H8" i="5"/>
  <c r="H4" i="5"/>
  <c r="H11" i="5"/>
  <c r="H7" i="5"/>
  <c r="H3" i="5"/>
  <c r="H10" i="5"/>
  <c r="H6" i="5"/>
  <c r="X28" i="5" l="1"/>
  <c r="Y28" i="5" s="1"/>
  <c r="X24" i="5"/>
  <c r="Y24" i="5" s="1"/>
  <c r="X20" i="5"/>
  <c r="Y20" i="5" s="1"/>
  <c r="X16" i="5"/>
  <c r="Y16" i="5" s="1"/>
  <c r="X12" i="5"/>
  <c r="Y12" i="5" s="1"/>
  <c r="X8" i="5"/>
  <c r="X4" i="5"/>
  <c r="X26" i="5"/>
  <c r="Y26" i="5" s="1"/>
  <c r="X18" i="5"/>
  <c r="Y18" i="5" s="1"/>
  <c r="X10" i="5"/>
  <c r="Y10" i="5" s="1"/>
  <c r="X27" i="5"/>
  <c r="Y27" i="5" s="1"/>
  <c r="X23" i="5"/>
  <c r="Y23" i="5" s="1"/>
  <c r="X19" i="5"/>
  <c r="Y19" i="5" s="1"/>
  <c r="X15" i="5"/>
  <c r="Y15" i="5" s="1"/>
  <c r="X11" i="5"/>
  <c r="Y11" i="5" s="1"/>
  <c r="X7" i="5"/>
  <c r="X3" i="5"/>
  <c r="X22" i="5"/>
  <c r="Y22" i="5" s="1"/>
  <c r="X14" i="5"/>
  <c r="Y14" i="5" s="1"/>
  <c r="X6" i="5"/>
  <c r="X25" i="5"/>
  <c r="Y25" i="5" s="1"/>
  <c r="X21" i="5"/>
  <c r="Y21" i="5" s="1"/>
  <c r="X17" i="5"/>
  <c r="Y17" i="5" s="1"/>
  <c r="X13" i="5"/>
  <c r="Y13" i="5" s="1"/>
  <c r="X9" i="5"/>
  <c r="X5" i="5"/>
  <c r="K29" i="1" l="1"/>
  <c r="L29" i="1" s="1"/>
  <c r="K30" i="1"/>
  <c r="L30" i="1" s="1"/>
  <c r="J16" i="4"/>
  <c r="K16" i="4"/>
  <c r="G28" i="1" s="1"/>
  <c r="A16" i="4"/>
  <c r="A28" i="1" s="1"/>
  <c r="J31" i="1" s="1"/>
  <c r="C16" i="4"/>
  <c r="D28" i="1" s="1"/>
  <c r="K28" i="1"/>
  <c r="L28" i="1" s="1"/>
  <c r="B16" i="4"/>
  <c r="K25" i="1"/>
  <c r="L25" i="1" s="1"/>
  <c r="K24" i="1"/>
  <c r="L24" i="1" s="1"/>
  <c r="C15" i="4"/>
  <c r="D24" i="1" s="1"/>
  <c r="J15" i="4"/>
  <c r="B15" i="4"/>
  <c r="K26" i="1"/>
  <c r="L26" i="1" s="1"/>
  <c r="K15" i="4"/>
  <c r="G24" i="1" s="1"/>
  <c r="A15" i="4"/>
  <c r="A24" i="1" s="1"/>
  <c r="J27" i="1" s="1"/>
  <c r="A11" i="4"/>
  <c r="A8" i="1" s="1"/>
  <c r="J11" i="1" s="1"/>
  <c r="K9" i="1"/>
  <c r="L9" i="1" s="1"/>
  <c r="C11" i="4"/>
  <c r="D8" i="1" s="1"/>
  <c r="K8" i="1"/>
  <c r="L8" i="1" s="1"/>
  <c r="K11" i="4"/>
  <c r="B11" i="4"/>
  <c r="K10" i="1"/>
  <c r="L10" i="1" s="1"/>
  <c r="J11" i="4"/>
  <c r="F8" i="1" s="1"/>
  <c r="K12" i="4"/>
  <c r="C12" i="4"/>
  <c r="K12" i="1"/>
  <c r="L12" i="1" s="1"/>
  <c r="J12" i="4"/>
  <c r="F12" i="1" s="1"/>
  <c r="A12" i="4"/>
  <c r="B12" i="4"/>
  <c r="K14" i="1"/>
  <c r="L14" i="1" s="1"/>
  <c r="K13" i="1"/>
  <c r="L13" i="1" s="1"/>
  <c r="C10" i="4"/>
  <c r="D4" i="1" s="1"/>
  <c r="K10" i="4"/>
  <c r="G4" i="1" s="1"/>
  <c r="A10" i="4"/>
  <c r="A4" i="1" s="1"/>
  <c r="J7" i="1" s="1"/>
  <c r="K6" i="1"/>
  <c r="L6" i="1" s="1"/>
  <c r="J10" i="4"/>
  <c r="B10" i="4"/>
  <c r="K5" i="1"/>
  <c r="L5" i="1" s="1"/>
  <c r="K4" i="1"/>
  <c r="L4" i="1" s="1"/>
  <c r="C13" i="4"/>
  <c r="D16" i="1" s="1"/>
  <c r="K13" i="4"/>
  <c r="B13" i="4"/>
  <c r="K18" i="1"/>
  <c r="L18" i="1" s="1"/>
  <c r="K16" i="1"/>
  <c r="L16" i="1" s="1"/>
  <c r="J13" i="4"/>
  <c r="F16" i="1" s="1"/>
  <c r="K17" i="1"/>
  <c r="L17" i="1" s="1"/>
  <c r="A13" i="4"/>
  <c r="A16" i="1" s="1"/>
  <c r="J19" i="1" s="1"/>
  <c r="C14" i="4"/>
  <c r="D20" i="1" s="1"/>
  <c r="K14" i="4"/>
  <c r="G20" i="1" s="1"/>
  <c r="K22" i="1"/>
  <c r="L22" i="1" s="1"/>
  <c r="K21" i="1"/>
  <c r="L21" i="1" s="1"/>
  <c r="K20" i="1"/>
  <c r="L20" i="1" s="1"/>
  <c r="J14" i="4"/>
  <c r="B14" i="4"/>
  <c r="A14" i="4"/>
  <c r="A20" i="1" s="1"/>
  <c r="J23" i="1" s="1"/>
  <c r="A12" i="1"/>
  <c r="J15" i="1" s="1"/>
  <c r="D12" i="1"/>
  <c r="Y4" i="5"/>
  <c r="Z4" i="5" s="1"/>
  <c r="AB4" i="5" s="1"/>
  <c r="AA4" i="5" s="1"/>
  <c r="Y5" i="5"/>
  <c r="Z5" i="5" s="1"/>
  <c r="AB5" i="5" s="1"/>
  <c r="AA5" i="5" s="1"/>
  <c r="Y8" i="5"/>
  <c r="Z8" i="5" s="1"/>
  <c r="AB8" i="5" s="1"/>
  <c r="Y9" i="5"/>
  <c r="Z9" i="5" s="1"/>
  <c r="AB9" i="5" s="1"/>
  <c r="AC9" i="5" s="1"/>
  <c r="AD9" i="5" s="1"/>
  <c r="AE9" i="5" s="1"/>
  <c r="AF9" i="5" s="1"/>
  <c r="AG9" i="5" s="1"/>
  <c r="AH9" i="5" s="1"/>
  <c r="Y3" i="5"/>
  <c r="Z3" i="5" s="1"/>
  <c r="Y6" i="5"/>
  <c r="Z6" i="5" s="1"/>
  <c r="AB6" i="5" s="1"/>
  <c r="Y7" i="5"/>
  <c r="Z7" i="5" s="1"/>
  <c r="AB7" i="5" s="1"/>
  <c r="AA7" i="5" s="1"/>
  <c r="Z13" i="5"/>
  <c r="AB13" i="5" s="1"/>
  <c r="AC13" i="5" s="1"/>
  <c r="AD13" i="5" s="1"/>
  <c r="AE13" i="5" s="1"/>
  <c r="AF13" i="5" s="1"/>
  <c r="AG13" i="5" s="1"/>
  <c r="AH13" i="5" s="1"/>
  <c r="Z17" i="5"/>
  <c r="AB17" i="5" s="1"/>
  <c r="AC17" i="5" s="1"/>
  <c r="AD17" i="5" s="1"/>
  <c r="AE17" i="5" s="1"/>
  <c r="AF17" i="5" s="1"/>
  <c r="AG17" i="5" s="1"/>
  <c r="AH17" i="5" s="1"/>
  <c r="Z21" i="5"/>
  <c r="AB21" i="5" s="1"/>
  <c r="AC21" i="5" s="1"/>
  <c r="AD21" i="5" s="1"/>
  <c r="AE21" i="5" s="1"/>
  <c r="AF21" i="5" s="1"/>
  <c r="AG21" i="5" s="1"/>
  <c r="AH21" i="5" s="1"/>
  <c r="Z25" i="5"/>
  <c r="AB25" i="5" s="1"/>
  <c r="AC25" i="5" s="1"/>
  <c r="AD25" i="5" s="1"/>
  <c r="AE25" i="5" s="1"/>
  <c r="AF25" i="5" s="1"/>
  <c r="AG25" i="5" s="1"/>
  <c r="AH25" i="5" s="1"/>
  <c r="Z14" i="5"/>
  <c r="AB14" i="5" s="1"/>
  <c r="AC14" i="5" s="1"/>
  <c r="AD14" i="5" s="1"/>
  <c r="AE14" i="5" s="1"/>
  <c r="AF14" i="5" s="1"/>
  <c r="AG14" i="5" s="1"/>
  <c r="AH14" i="5" s="1"/>
  <c r="Z22" i="5"/>
  <c r="AB22" i="5" s="1"/>
  <c r="AC22" i="5" s="1"/>
  <c r="AD22" i="5" s="1"/>
  <c r="AE22" i="5" s="1"/>
  <c r="AF22" i="5" s="1"/>
  <c r="AG22" i="5" s="1"/>
  <c r="AH22" i="5" s="1"/>
  <c r="Z11" i="5"/>
  <c r="AB11" i="5" s="1"/>
  <c r="AC11" i="5" s="1"/>
  <c r="AD11" i="5" s="1"/>
  <c r="AE11" i="5" s="1"/>
  <c r="AF11" i="5" s="1"/>
  <c r="AG11" i="5" s="1"/>
  <c r="AH11" i="5" s="1"/>
  <c r="Z15" i="5"/>
  <c r="AB15" i="5" s="1"/>
  <c r="AC15" i="5" s="1"/>
  <c r="AD15" i="5" s="1"/>
  <c r="AE15" i="5" s="1"/>
  <c r="AF15" i="5" s="1"/>
  <c r="AG15" i="5" s="1"/>
  <c r="AH15" i="5" s="1"/>
  <c r="Z19" i="5"/>
  <c r="AB19" i="5" s="1"/>
  <c r="AC19" i="5" s="1"/>
  <c r="AD19" i="5" s="1"/>
  <c r="AE19" i="5" s="1"/>
  <c r="AF19" i="5" s="1"/>
  <c r="AG19" i="5" s="1"/>
  <c r="AH19" i="5" s="1"/>
  <c r="Z23" i="5"/>
  <c r="AB23" i="5" s="1"/>
  <c r="AC23" i="5" s="1"/>
  <c r="AD23" i="5" s="1"/>
  <c r="AE23" i="5" s="1"/>
  <c r="AF23" i="5" s="1"/>
  <c r="AG23" i="5" s="1"/>
  <c r="AH23" i="5" s="1"/>
  <c r="Z27" i="5"/>
  <c r="AB27" i="5" s="1"/>
  <c r="AC27" i="5" s="1"/>
  <c r="AD27" i="5" s="1"/>
  <c r="AE27" i="5" s="1"/>
  <c r="AF27" i="5" s="1"/>
  <c r="AG27" i="5" s="1"/>
  <c r="AH27" i="5" s="1"/>
  <c r="Z10" i="5"/>
  <c r="AB10" i="5" s="1"/>
  <c r="AC10" i="5" s="1"/>
  <c r="AD10" i="5" s="1"/>
  <c r="AE10" i="5" s="1"/>
  <c r="AF10" i="5" s="1"/>
  <c r="AG10" i="5" s="1"/>
  <c r="AH10" i="5" s="1"/>
  <c r="Z18" i="5"/>
  <c r="AB18" i="5" s="1"/>
  <c r="AC18" i="5" s="1"/>
  <c r="AD18" i="5" s="1"/>
  <c r="AE18" i="5" s="1"/>
  <c r="AF18" i="5" s="1"/>
  <c r="AG18" i="5" s="1"/>
  <c r="AH18" i="5" s="1"/>
  <c r="Z26" i="5"/>
  <c r="AB26" i="5" s="1"/>
  <c r="AC26" i="5" s="1"/>
  <c r="AD26" i="5" s="1"/>
  <c r="AE26" i="5" s="1"/>
  <c r="AF26" i="5" s="1"/>
  <c r="AG26" i="5" s="1"/>
  <c r="AH26" i="5" s="1"/>
  <c r="Z12" i="5"/>
  <c r="AB12" i="5" s="1"/>
  <c r="AC12" i="5" s="1"/>
  <c r="AD12" i="5" s="1"/>
  <c r="AE12" i="5" s="1"/>
  <c r="AF12" i="5" s="1"/>
  <c r="AG12" i="5" s="1"/>
  <c r="AH12" i="5" s="1"/>
  <c r="Z16" i="5"/>
  <c r="AB16" i="5" s="1"/>
  <c r="AC16" i="5" s="1"/>
  <c r="AD16" i="5" s="1"/>
  <c r="AE16" i="5" s="1"/>
  <c r="AF16" i="5" s="1"/>
  <c r="AG16" i="5" s="1"/>
  <c r="AH16" i="5" s="1"/>
  <c r="Z20" i="5"/>
  <c r="AB20" i="5" s="1"/>
  <c r="AC20" i="5" s="1"/>
  <c r="AD20" i="5" s="1"/>
  <c r="AE20" i="5" s="1"/>
  <c r="AF20" i="5" s="1"/>
  <c r="AG20" i="5" s="1"/>
  <c r="AH20" i="5" s="1"/>
  <c r="Z24" i="5"/>
  <c r="AB24" i="5" s="1"/>
  <c r="AC24" i="5" s="1"/>
  <c r="AD24" i="5" s="1"/>
  <c r="AE24" i="5" s="1"/>
  <c r="AF24" i="5" s="1"/>
  <c r="AG24" i="5" s="1"/>
  <c r="AH24" i="5" s="1"/>
  <c r="Z28" i="5"/>
  <c r="AB28" i="5" s="1"/>
  <c r="AC28" i="5" s="1"/>
  <c r="AD28" i="5" s="1"/>
  <c r="AE28" i="5" s="1"/>
  <c r="AF28" i="5" s="1"/>
  <c r="AG28" i="5" s="1"/>
  <c r="AH28" i="5" s="1"/>
  <c r="W6" i="5"/>
  <c r="W23" i="5"/>
  <c r="W16" i="5"/>
  <c r="W17" i="5"/>
  <c r="W14" i="5"/>
  <c r="W11" i="5"/>
  <c r="W27" i="5"/>
  <c r="W4" i="5"/>
  <c r="W20" i="5"/>
  <c r="W5" i="5"/>
  <c r="W21" i="5"/>
  <c r="W22" i="5"/>
  <c r="W15" i="5"/>
  <c r="W10" i="5"/>
  <c r="W8" i="5"/>
  <c r="W24" i="5"/>
  <c r="W13" i="5"/>
  <c r="W7" i="5"/>
  <c r="W26" i="5"/>
  <c r="W9" i="5"/>
  <c r="W25" i="5"/>
  <c r="W3" i="5"/>
  <c r="W19" i="5"/>
  <c r="W18" i="5"/>
  <c r="W12" i="5"/>
  <c r="W28" i="5"/>
  <c r="AA19" i="5" l="1"/>
  <c r="AA25" i="5"/>
  <c r="AA27" i="5"/>
  <c r="AA23" i="5"/>
  <c r="AA24" i="5"/>
  <c r="AA28" i="5"/>
  <c r="AA26" i="5"/>
  <c r="AA14" i="5"/>
  <c r="AA20" i="5"/>
  <c r="AA22" i="5"/>
  <c r="AA18" i="5"/>
  <c r="AA15" i="5"/>
  <c r="AA21" i="5"/>
  <c r="AA13" i="5"/>
  <c r="AA16" i="5"/>
  <c r="AA17" i="5"/>
  <c r="K31" i="1"/>
  <c r="L31" i="1" s="1"/>
  <c r="F28" i="1"/>
  <c r="H28" i="1" s="1"/>
  <c r="L16" i="4"/>
  <c r="AA12" i="5"/>
  <c r="AA11" i="5"/>
  <c r="F24" i="1"/>
  <c r="L15" i="4"/>
  <c r="AA10" i="5"/>
  <c r="F20" i="1"/>
  <c r="L14" i="4"/>
  <c r="L13" i="4"/>
  <c r="G16" i="1"/>
  <c r="F4" i="1"/>
  <c r="H4" i="1" s="1"/>
  <c r="L10" i="4"/>
  <c r="L12" i="4"/>
  <c r="G12" i="1"/>
  <c r="L11" i="4"/>
  <c r="G8" i="1"/>
  <c r="K19" i="1"/>
  <c r="L19" i="1" s="1"/>
  <c r="J16" i="1"/>
  <c r="E16" i="1"/>
  <c r="J18" i="1"/>
  <c r="C16" i="1"/>
  <c r="J17" i="1"/>
  <c r="K11" i="1"/>
  <c r="L11" i="1" s="1"/>
  <c r="J9" i="1"/>
  <c r="E8" i="1"/>
  <c r="J10" i="1"/>
  <c r="C8" i="1"/>
  <c r="J8" i="1"/>
  <c r="K15" i="1"/>
  <c r="L15" i="1" s="1"/>
  <c r="J14" i="1"/>
  <c r="E12" i="1"/>
  <c r="C12" i="1"/>
  <c r="J13" i="1"/>
  <c r="J12" i="1"/>
  <c r="K7" i="1"/>
  <c r="L7" i="1" s="1"/>
  <c r="E4" i="1"/>
  <c r="H10" i="4" s="1"/>
  <c r="J6" i="1"/>
  <c r="J5" i="1"/>
  <c r="J4" i="1"/>
  <c r="C4" i="1"/>
  <c r="K27" i="1"/>
  <c r="L27" i="1" s="1"/>
  <c r="J26" i="1"/>
  <c r="J24" i="1"/>
  <c r="J25" i="1"/>
  <c r="E24" i="1"/>
  <c r="C24" i="1"/>
  <c r="K23" i="1"/>
  <c r="L23" i="1" s="1"/>
  <c r="J20" i="1"/>
  <c r="J22" i="1"/>
  <c r="E20" i="1"/>
  <c r="C20" i="1"/>
  <c r="J21" i="1"/>
  <c r="J30" i="1"/>
  <c r="C28" i="1"/>
  <c r="J29" i="1"/>
  <c r="E28" i="1"/>
  <c r="J28" i="1"/>
  <c r="B16" i="1"/>
  <c r="B28" i="1"/>
  <c r="B20" i="1"/>
  <c r="B24" i="1"/>
  <c r="B12" i="1"/>
  <c r="B4" i="1"/>
  <c r="B8" i="1"/>
  <c r="AA9" i="5"/>
  <c r="AB3" i="5"/>
  <c r="AA3" i="5" s="1"/>
  <c r="AA6" i="5"/>
  <c r="AC6" i="5"/>
  <c r="AD6" i="5" s="1"/>
  <c r="AE6" i="5" s="1"/>
  <c r="AF6" i="5" s="1"/>
  <c r="AG6" i="5" s="1"/>
  <c r="AH6" i="5" s="1"/>
  <c r="AA8" i="5"/>
  <c r="AC8" i="5"/>
  <c r="AD8" i="5" s="1"/>
  <c r="AE8" i="5" s="1"/>
  <c r="AF8" i="5" s="1"/>
  <c r="AG8" i="5" s="1"/>
  <c r="AH8" i="5" s="1"/>
  <c r="AC7" i="5"/>
  <c r="AD7" i="5" s="1"/>
  <c r="AE7" i="5" s="1"/>
  <c r="AF7" i="5" s="1"/>
  <c r="AG7" i="5" s="1"/>
  <c r="AH7" i="5" s="1"/>
  <c r="AC5" i="5"/>
  <c r="AD5" i="5" s="1"/>
  <c r="AE5" i="5" s="1"/>
  <c r="AF5" i="5" s="1"/>
  <c r="AG5" i="5" s="1"/>
  <c r="AH5" i="5" s="1"/>
  <c r="AC4" i="5"/>
  <c r="AD4" i="5" s="1"/>
  <c r="AE4" i="5" s="1"/>
  <c r="AF4" i="5" s="1"/>
  <c r="AG4" i="5" s="1"/>
  <c r="AH4" i="5" s="1"/>
  <c r="H16" i="4" l="1"/>
  <c r="H12" i="4"/>
  <c r="H15" i="4"/>
  <c r="H11" i="4"/>
  <c r="H13" i="4"/>
  <c r="H14" i="4"/>
  <c r="H16" i="1"/>
  <c r="H8" i="1"/>
  <c r="H20" i="1"/>
  <c r="H24" i="1"/>
  <c r="H12" i="1"/>
  <c r="AC3" i="5"/>
  <c r="AD3" i="5" s="1"/>
  <c r="AE3" i="5" s="1"/>
  <c r="AF3" i="5" s="1"/>
  <c r="AG3" i="5" s="1"/>
  <c r="AH3" i="5" s="1"/>
  <c r="L17" i="4"/>
  <c r="P11" i="4" s="1"/>
  <c r="H32" i="1" l="1"/>
  <c r="V15" i="4"/>
  <c r="R16" i="4"/>
  <c r="R15" i="4" s="1"/>
  <c r="U16" i="4"/>
  <c r="U15" i="4" s="1"/>
  <c r="S16" i="4"/>
  <c r="S15" i="4" s="1"/>
  <c r="Q16" i="4"/>
  <c r="Q15" i="4" s="1"/>
  <c r="Q11" i="4"/>
  <c r="T16" i="4"/>
  <c r="T15" i="4" s="1"/>
  <c r="R14" i="4" l="1"/>
  <c r="D7" i="4" s="1"/>
  <c r="Q14" i="4"/>
  <c r="C7" i="4" s="1"/>
  <c r="T14" i="4"/>
  <c r="F7" i="4" s="1"/>
  <c r="V14" i="4"/>
  <c r="H7" i="4" s="1"/>
  <c r="S14" i="4"/>
  <c r="E7" i="4" s="1"/>
  <c r="U14" i="4"/>
  <c r="G7" i="4" s="1"/>
</calcChain>
</file>

<file path=xl/sharedStrings.xml><?xml version="1.0" encoding="utf-8"?>
<sst xmlns="http://schemas.openxmlformats.org/spreadsheetml/2006/main" count="97" uniqueCount="71">
  <si>
    <t>職別</t>
  </si>
  <si>
    <t>職別</t>
    <phoneticPr fontId="1" type="noConversion"/>
  </si>
  <si>
    <t>姓名</t>
  </si>
  <si>
    <t>姓名</t>
    <phoneticPr fontId="1" type="noConversion"/>
  </si>
  <si>
    <t>加班事由</t>
  </si>
  <si>
    <t>加班事由</t>
    <phoneticPr fontId="1" type="noConversion"/>
  </si>
  <si>
    <t>日期</t>
    <phoneticPr fontId="1" type="noConversion"/>
  </si>
  <si>
    <t>起迄時間</t>
    <phoneticPr fontId="1" type="noConversion"/>
  </si>
  <si>
    <t>時數</t>
    <phoneticPr fontId="1" type="noConversion"/>
  </si>
  <si>
    <t>單價</t>
    <phoneticPr fontId="1" type="noConversion"/>
  </si>
  <si>
    <t>合計</t>
  </si>
  <si>
    <t>合計</t>
    <phoneticPr fontId="1" type="noConversion"/>
  </si>
  <si>
    <t>蓋章</t>
    <phoneticPr fontId="1" type="noConversion"/>
  </si>
  <si>
    <t>支給標準下列項目支總和除以240為每小時支單價</t>
    <phoneticPr fontId="1" type="noConversion"/>
  </si>
  <si>
    <t>月支薪俸</t>
  </si>
  <si>
    <t>專業加給</t>
  </si>
  <si>
    <t>主管加給</t>
  </si>
  <si>
    <t>加班時數合計</t>
    <phoneticPr fontId="1" type="noConversion"/>
  </si>
  <si>
    <t>加班日期登打</t>
    <phoneticPr fontId="1" type="noConversion"/>
  </si>
  <si>
    <t>月份</t>
    <phoneticPr fontId="1" type="noConversion"/>
  </si>
  <si>
    <t>年度</t>
    <phoneticPr fontId="1" type="noConversion"/>
  </si>
  <si>
    <t>第八節輔導課巡堂及交通指揮</t>
  </si>
  <si>
    <t>時</t>
    <phoneticPr fontId="1" type="noConversion"/>
  </si>
  <si>
    <t>分</t>
    <phoneticPr fontId="1" type="noConversion"/>
  </si>
  <si>
    <t>至</t>
    <phoneticPr fontId="1" type="noConversion"/>
  </si>
  <si>
    <t>時:</t>
    <phoneticPr fontId="1" type="noConversion"/>
  </si>
  <si>
    <t>加班時數</t>
    <phoneticPr fontId="1" type="noConversion"/>
  </si>
  <si>
    <t>每小時加班費</t>
    <phoneticPr fontId="1" type="noConversion"/>
  </si>
  <si>
    <t>合計金額</t>
    <phoneticPr fontId="1" type="noConversion"/>
  </si>
  <si>
    <t>領款人簽章</t>
    <phoneticPr fontId="1" type="noConversion"/>
  </si>
  <si>
    <t>備註</t>
    <phoneticPr fontId="1" type="noConversion"/>
  </si>
  <si>
    <t>十</t>
    <phoneticPr fontId="1" type="noConversion"/>
  </si>
  <si>
    <t>萬</t>
    <phoneticPr fontId="1" type="noConversion"/>
  </si>
  <si>
    <t>千</t>
    <phoneticPr fontId="1" type="noConversion"/>
  </si>
  <si>
    <t>百</t>
    <phoneticPr fontId="1" type="noConversion"/>
  </si>
  <si>
    <t>元</t>
    <phoneticPr fontId="1" type="noConversion"/>
  </si>
  <si>
    <t>工作計畫</t>
    <phoneticPr fontId="1" type="noConversion"/>
  </si>
  <si>
    <t>用途別</t>
    <phoneticPr fontId="1" type="noConversion"/>
  </si>
  <si>
    <t>用途摘要</t>
    <phoneticPr fontId="1" type="noConversion"/>
  </si>
  <si>
    <t>課業輔導費</t>
    <phoneticPr fontId="1" type="noConversion"/>
  </si>
  <si>
    <t>應付代收款-學生繳費項目</t>
    <phoneticPr fontId="1" type="noConversion"/>
  </si>
  <si>
    <t>加班起迄日期</t>
    <phoneticPr fontId="1" type="noConversion"/>
  </si>
  <si>
    <t>合      計</t>
    <phoneticPr fontId="1" type="noConversion"/>
  </si>
  <si>
    <t xml:space="preserve">                                                        合      計</t>
    <phoneticPr fontId="1" type="noConversion"/>
  </si>
  <si>
    <t>金         額</t>
    <phoneticPr fontId="1" type="noConversion"/>
  </si>
  <si>
    <t>第         號</t>
    <phoneticPr fontId="1" type="noConversion"/>
  </si>
  <si>
    <t xml:space="preserve">傳票(附款憑單)編號:                               </t>
    <phoneticPr fontId="1" type="noConversion"/>
  </si>
  <si>
    <t>經辦人</t>
    <phoneticPr fontId="1" type="noConversion"/>
  </si>
  <si>
    <t>單位主管</t>
    <phoneticPr fontId="1" type="noConversion"/>
  </si>
  <si>
    <t>人事室</t>
    <phoneticPr fontId="1" type="noConversion"/>
  </si>
  <si>
    <t>會計室</t>
    <phoneticPr fontId="1" type="noConversion"/>
  </si>
  <si>
    <t>校長</t>
    <phoneticPr fontId="1" type="noConversion"/>
  </si>
  <si>
    <t xml:space="preserve">                     彰化縣立鹿港國民中學</t>
    <phoneticPr fontId="1" type="noConversion"/>
  </si>
  <si>
    <t>簽辦人</t>
    <phoneticPr fontId="1" type="noConversion"/>
  </si>
  <si>
    <t>日期</t>
    <phoneticPr fontId="1" type="noConversion"/>
  </si>
  <si>
    <t>簽到</t>
    <phoneticPr fontId="1" type="noConversion"/>
  </si>
  <si>
    <t>簽退</t>
    <phoneticPr fontId="1" type="noConversion"/>
  </si>
  <si>
    <t>天數</t>
    <phoneticPr fontId="1" type="noConversion"/>
  </si>
  <si>
    <t>加班人員</t>
    <phoneticPr fontId="1" type="noConversion"/>
  </si>
  <si>
    <t>加班人數</t>
    <phoneticPr fontId="1" type="noConversion"/>
  </si>
  <si>
    <t>天數</t>
    <phoneticPr fontId="1" type="noConversion"/>
  </si>
  <si>
    <t>單價</t>
    <phoneticPr fontId="1" type="noConversion"/>
  </si>
  <si>
    <t>職稱</t>
    <phoneticPr fontId="1" type="noConversion"/>
  </si>
  <si>
    <t>加班起迄時間</t>
    <phoneticPr fontId="1" type="noConversion"/>
  </si>
  <si>
    <t>日期</t>
  </si>
  <si>
    <t>日期</t>
    <phoneticPr fontId="1" type="noConversion"/>
  </si>
  <si>
    <t>月支薪俸</t>
    <phoneticPr fontId="1" type="noConversion"/>
  </si>
  <si>
    <t>專業加給</t>
    <phoneticPr fontId="1" type="noConversion"/>
  </si>
  <si>
    <t>主管加給</t>
    <phoneticPr fontId="1" type="noConversion"/>
  </si>
  <si>
    <t>累計天數</t>
    <phoneticPr fontId="1" type="noConversion"/>
  </si>
  <si>
    <t>主任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</si>
</sst>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???"/>
    <numFmt numFmtId="177" formatCode="#,##0_ "/>
  </numFmts>
  <fonts count="1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8"/>
      <color theme="1"/>
      <name val="新細明體"/>
      <family val="2"/>
      <charset val="136"/>
      <scheme val="minor"/>
    </font>
    <font>
      <sz val="8"/>
      <color theme="1"/>
      <name val="新細明體"/>
      <family val="1"/>
      <charset val="136"/>
      <scheme val="minor"/>
    </font>
    <font>
      <sz val="9"/>
      <color theme="1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1"/>
      <color theme="1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6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inor"/>
    </font>
    <font>
      <sz val="22"/>
      <color theme="1"/>
      <name val="新細明體"/>
      <family val="2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2" borderId="0" xfId="0" applyFill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5" fillId="0" borderId="0" xfId="0" applyFont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5" borderId="0" xfId="0" applyFill="1" applyProtection="1">
      <alignment vertical="center"/>
      <protection locked="0"/>
    </xf>
    <xf numFmtId="0" fontId="0" fillId="6" borderId="0" xfId="0" applyFill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9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/>
    </xf>
    <xf numFmtId="0" fontId="0" fillId="0" borderId="8" xfId="0" applyFill="1" applyBorder="1">
      <alignment vertical="center"/>
    </xf>
    <xf numFmtId="0" fontId="0" fillId="0" borderId="0" xfId="0" applyFill="1" applyBorder="1">
      <alignment vertical="center"/>
    </xf>
    <xf numFmtId="0" fontId="7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 wrapText="1"/>
    </xf>
    <xf numFmtId="176" fontId="6" fillId="0" borderId="2" xfId="0" applyNumberFormat="1" applyFont="1" applyBorder="1" applyAlignment="1">
      <alignment vertical="center" shrinkToFit="1"/>
    </xf>
    <xf numFmtId="176" fontId="6" fillId="0" borderId="4" xfId="0" applyNumberFormat="1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0" fillId="0" borderId="0" xfId="0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H16" sqref="H16"/>
    </sheetView>
  </sheetViews>
  <sheetFormatPr defaultRowHeight="16.5" x14ac:dyDescent="0.25"/>
  <cols>
    <col min="1" max="1" width="12.375" customWidth="1"/>
    <col min="2" max="2" width="14.25" customWidth="1"/>
    <col min="3" max="4" width="14" customWidth="1"/>
    <col min="5" max="5" width="12" customWidth="1"/>
    <col min="6" max="6" width="11.75" customWidth="1"/>
    <col min="7" max="7" width="11.875" customWidth="1"/>
    <col min="8" max="8" width="13.25" customWidth="1"/>
  </cols>
  <sheetData>
    <row r="1" spans="1:14" x14ac:dyDescent="0.25">
      <c r="A1" t="s">
        <v>20</v>
      </c>
      <c r="B1" s="4">
        <v>107</v>
      </c>
      <c r="I1" t="s">
        <v>4</v>
      </c>
      <c r="J1" s="21" t="s">
        <v>21</v>
      </c>
      <c r="K1" s="22"/>
      <c r="L1" s="22"/>
    </row>
    <row r="2" spans="1:14" x14ac:dyDescent="0.25">
      <c r="A2" t="s">
        <v>19</v>
      </c>
      <c r="B2" s="3">
        <v>3</v>
      </c>
      <c r="I2" t="s">
        <v>7</v>
      </c>
      <c r="J2" t="s">
        <v>25</v>
      </c>
      <c r="K2" t="s">
        <v>23</v>
      </c>
      <c r="L2" t="s">
        <v>24</v>
      </c>
      <c r="M2" t="s">
        <v>25</v>
      </c>
      <c r="N2" t="s">
        <v>23</v>
      </c>
    </row>
    <row r="3" spans="1:14" x14ac:dyDescent="0.25">
      <c r="A3" t="s">
        <v>59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 t="s">
        <v>7</v>
      </c>
      <c r="J3" s="21">
        <v>16</v>
      </c>
      <c r="K3" s="21">
        <v>20</v>
      </c>
      <c r="L3" s="21"/>
      <c r="M3" s="21">
        <v>17</v>
      </c>
      <c r="N3" s="21">
        <v>20</v>
      </c>
    </row>
    <row r="4" spans="1:14" x14ac:dyDescent="0.25">
      <c r="A4" t="s">
        <v>0</v>
      </c>
      <c r="B4" s="19" t="s">
        <v>70</v>
      </c>
      <c r="C4" s="19"/>
      <c r="D4" s="19"/>
      <c r="E4" s="19"/>
      <c r="F4" s="19"/>
      <c r="G4" s="19"/>
      <c r="H4" s="19"/>
    </row>
    <row r="5" spans="1:14" x14ac:dyDescent="0.25">
      <c r="A5" t="s">
        <v>2</v>
      </c>
      <c r="B5" s="20"/>
      <c r="C5" s="20"/>
      <c r="D5" s="20"/>
      <c r="E5" s="20"/>
      <c r="F5" s="20"/>
      <c r="G5" s="20"/>
      <c r="H5" s="20"/>
    </row>
    <row r="6" spans="1:14" x14ac:dyDescent="0.25">
      <c r="A6" t="s">
        <v>66</v>
      </c>
      <c r="B6" s="3"/>
      <c r="C6" s="3"/>
      <c r="D6" s="3"/>
      <c r="E6" s="4"/>
      <c r="F6" s="3"/>
      <c r="G6" s="4"/>
      <c r="H6" s="3"/>
    </row>
    <row r="7" spans="1:14" x14ac:dyDescent="0.25">
      <c r="A7" t="s">
        <v>67</v>
      </c>
      <c r="B7" s="3"/>
      <c r="C7" s="3"/>
      <c r="D7" s="3"/>
      <c r="E7" s="4"/>
      <c r="F7" s="3"/>
      <c r="G7" s="4"/>
      <c r="H7" s="3"/>
    </row>
    <row r="8" spans="1:14" x14ac:dyDescent="0.25">
      <c r="A8" t="s">
        <v>68</v>
      </c>
      <c r="B8" s="3"/>
      <c r="C8" s="3"/>
      <c r="D8" s="3"/>
      <c r="E8" s="4"/>
      <c r="F8" s="3"/>
      <c r="G8" s="4"/>
      <c r="H8" s="3"/>
    </row>
    <row r="9" spans="1:14" x14ac:dyDescent="0.25">
      <c r="A9" t="s">
        <v>10</v>
      </c>
      <c r="B9">
        <f>B6+B7+B8</f>
        <v>0</v>
      </c>
      <c r="C9">
        <f t="shared" ref="C9:H9" si="0">C6+C7+C8</f>
        <v>0</v>
      </c>
      <c r="D9">
        <f t="shared" si="0"/>
        <v>0</v>
      </c>
      <c r="E9">
        <f t="shared" si="0"/>
        <v>0</v>
      </c>
      <c r="F9">
        <f t="shared" si="0"/>
        <v>0</v>
      </c>
      <c r="G9">
        <f t="shared" si="0"/>
        <v>0</v>
      </c>
      <c r="H9">
        <f t="shared" si="0"/>
        <v>0</v>
      </c>
    </row>
    <row r="10" spans="1:14" x14ac:dyDescent="0.25">
      <c r="A10" t="s">
        <v>9</v>
      </c>
      <c r="B10">
        <f>ROUND(B9/240,0)</f>
        <v>0</v>
      </c>
      <c r="C10">
        <f t="shared" ref="C10:H10" si="1">ROUND(C9/240,0)</f>
        <v>0</v>
      </c>
      <c r="D10">
        <f t="shared" si="1"/>
        <v>0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</row>
    <row r="11" spans="1:14" x14ac:dyDescent="0.25">
      <c r="A11" t="s">
        <v>17</v>
      </c>
      <c r="B11">
        <f>SUM(B31:B40)</f>
        <v>4</v>
      </c>
      <c r="C11">
        <f t="shared" ref="C11:H11" si="2">SUM(C31:C40)</f>
        <v>0</v>
      </c>
      <c r="D11">
        <f t="shared" si="2"/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  <c r="I11">
        <f>SUM(B11:H11)</f>
        <v>4</v>
      </c>
    </row>
    <row r="12" spans="1:14" x14ac:dyDescent="0.25">
      <c r="A12" s="40" t="s">
        <v>18</v>
      </c>
      <c r="B12" s="3">
        <v>6</v>
      </c>
      <c r="C12" s="4"/>
      <c r="D12" s="3"/>
      <c r="E12" s="4"/>
      <c r="F12" s="3"/>
      <c r="G12" s="4"/>
      <c r="H12" s="3"/>
    </row>
    <row r="13" spans="1:14" hidden="1" x14ac:dyDescent="0.25">
      <c r="A13" s="40"/>
      <c r="B13" s="1" t="str">
        <f>IF(B12="","",IF(B14="","",","))</f>
        <v>,</v>
      </c>
      <c r="C13" s="1" t="str">
        <f t="shared" ref="C13:H13" si="3">IF(C12="","",IF(C14="","",","))</f>
        <v/>
      </c>
      <c r="D13" s="1" t="str">
        <f t="shared" si="3"/>
        <v/>
      </c>
      <c r="E13" s="1" t="str">
        <f t="shared" si="3"/>
        <v/>
      </c>
      <c r="F13" s="1" t="str">
        <f t="shared" si="3"/>
        <v/>
      </c>
      <c r="G13" s="1" t="str">
        <f t="shared" si="3"/>
        <v/>
      </c>
      <c r="H13" s="1" t="str">
        <f t="shared" si="3"/>
        <v/>
      </c>
    </row>
    <row r="14" spans="1:14" x14ac:dyDescent="0.25">
      <c r="A14" s="40"/>
      <c r="B14" s="3">
        <v>13</v>
      </c>
      <c r="C14" s="4"/>
      <c r="D14" s="3"/>
      <c r="E14" s="4"/>
      <c r="F14" s="3"/>
      <c r="G14" s="4"/>
      <c r="H14" s="3"/>
    </row>
    <row r="15" spans="1:14" hidden="1" x14ac:dyDescent="0.25">
      <c r="A15" s="40"/>
      <c r="B15" s="1" t="str">
        <f>IF(B14="","",IF(B16="","",","))</f>
        <v>,</v>
      </c>
      <c r="C15" s="1" t="str">
        <f t="shared" ref="C15:H15" si="4">IF(C14="","",IF(C16="","",","))</f>
        <v/>
      </c>
      <c r="D15" s="1" t="str">
        <f t="shared" si="4"/>
        <v/>
      </c>
      <c r="E15" s="1" t="str">
        <f t="shared" si="4"/>
        <v/>
      </c>
      <c r="F15" s="1" t="str">
        <f t="shared" si="4"/>
        <v/>
      </c>
      <c r="G15" s="1" t="str">
        <f t="shared" si="4"/>
        <v/>
      </c>
      <c r="H15" s="1" t="str">
        <f t="shared" si="4"/>
        <v/>
      </c>
    </row>
    <row r="16" spans="1:14" x14ac:dyDescent="0.25">
      <c r="A16" s="40"/>
      <c r="B16" s="3">
        <v>20</v>
      </c>
      <c r="C16" s="4"/>
      <c r="D16" s="3"/>
      <c r="E16" s="4"/>
      <c r="F16" s="3"/>
      <c r="G16" s="4"/>
      <c r="H16" s="3"/>
    </row>
    <row r="17" spans="1:9" hidden="1" x14ac:dyDescent="0.25">
      <c r="A17" s="40"/>
      <c r="B17" s="1" t="str">
        <f>IF(B16="","",IF(B18="","",","))</f>
        <v>,</v>
      </c>
      <c r="C17" s="1" t="str">
        <f t="shared" ref="C17:H17" si="5">IF(C16="","",IF(C18="","",","))</f>
        <v/>
      </c>
      <c r="D17" s="1" t="str">
        <f t="shared" si="5"/>
        <v/>
      </c>
      <c r="E17" s="1" t="str">
        <f t="shared" si="5"/>
        <v/>
      </c>
      <c r="F17" s="1" t="str">
        <f t="shared" si="5"/>
        <v/>
      </c>
      <c r="G17" s="1" t="str">
        <f t="shared" si="5"/>
        <v/>
      </c>
      <c r="H17" s="1" t="str">
        <f t="shared" si="5"/>
        <v/>
      </c>
    </row>
    <row r="18" spans="1:9" x14ac:dyDescent="0.25">
      <c r="A18" s="40"/>
      <c r="B18" s="3">
        <v>27</v>
      </c>
      <c r="C18" s="4"/>
      <c r="D18" s="3"/>
      <c r="E18" s="4"/>
      <c r="F18" s="3"/>
      <c r="G18" s="4"/>
      <c r="H18" s="3"/>
    </row>
    <row r="19" spans="1:9" hidden="1" x14ac:dyDescent="0.25">
      <c r="A19" s="40"/>
      <c r="B19" s="1" t="str">
        <f>IF(B18="","",IF(B20="","",","))</f>
        <v/>
      </c>
      <c r="C19" s="1" t="str">
        <f t="shared" ref="C19" si="6">IF(C18="","",IF(C20="","",","))</f>
        <v/>
      </c>
      <c r="D19" s="1" t="str">
        <f t="shared" ref="D19" si="7">IF(D18="","",IF(D20="","",","))</f>
        <v/>
      </c>
      <c r="E19" s="1" t="str">
        <f t="shared" ref="E19" si="8">IF(E18="","",IF(E20="","",","))</f>
        <v/>
      </c>
      <c r="F19" s="1" t="str">
        <f t="shared" ref="F19" si="9">IF(F18="","",IF(F20="","",","))</f>
        <v/>
      </c>
      <c r="G19" s="1" t="str">
        <f t="shared" ref="G19" si="10">IF(G18="","",IF(G20="","",","))</f>
        <v/>
      </c>
      <c r="H19" s="1" t="str">
        <f t="shared" ref="H19" si="11">IF(H18="","",IF(H20="","",","))</f>
        <v/>
      </c>
    </row>
    <row r="20" spans="1:9" x14ac:dyDescent="0.25">
      <c r="A20" s="40"/>
      <c r="B20" s="3"/>
      <c r="C20" s="4"/>
      <c r="D20" s="3"/>
      <c r="E20" s="4"/>
      <c r="F20" s="3"/>
      <c r="G20" s="4"/>
      <c r="H20" s="3"/>
    </row>
    <row r="21" spans="1:9" hidden="1" x14ac:dyDescent="0.25">
      <c r="A21" s="40"/>
      <c r="B21" s="1" t="str">
        <f>IF(B20="","",IF(B22="","",","))</f>
        <v/>
      </c>
      <c r="C21" s="1" t="str">
        <f t="shared" ref="C21" si="12">IF(C20="","",IF(C22="","",","))</f>
        <v/>
      </c>
      <c r="D21" s="1" t="str">
        <f t="shared" ref="D21" si="13">IF(D20="","",IF(D22="","",","))</f>
        <v/>
      </c>
      <c r="E21" s="1" t="str">
        <f t="shared" ref="E21" si="14">IF(E20="","",IF(E22="","",","))</f>
        <v/>
      </c>
      <c r="F21" s="1" t="str">
        <f t="shared" ref="F21" si="15">IF(F20="","",IF(F22="","",","))</f>
        <v/>
      </c>
      <c r="G21" s="1" t="str">
        <f t="shared" ref="G21" si="16">IF(G20="","",IF(G22="","",","))</f>
        <v/>
      </c>
      <c r="H21" s="1" t="str">
        <f t="shared" ref="H21" si="17">IF(H20="","",IF(H22="","",","))</f>
        <v/>
      </c>
    </row>
    <row r="22" spans="1:9" x14ac:dyDescent="0.25">
      <c r="A22" s="40"/>
      <c r="B22" s="3"/>
      <c r="C22" s="4"/>
      <c r="D22" s="3"/>
      <c r="E22" s="4"/>
      <c r="F22" s="3"/>
      <c r="G22" s="4"/>
      <c r="H22" s="3"/>
    </row>
    <row r="23" spans="1:9" hidden="1" x14ac:dyDescent="0.25">
      <c r="A23" s="40"/>
      <c r="B23" s="1" t="str">
        <f>IF(B22="","",IF(B24="","",","))</f>
        <v/>
      </c>
      <c r="C23" s="1" t="str">
        <f t="shared" ref="C23" si="18">IF(C22="","",IF(C24="","",","))</f>
        <v/>
      </c>
      <c r="D23" s="1" t="str">
        <f t="shared" ref="D23" si="19">IF(D22="","",IF(D24="","",","))</f>
        <v/>
      </c>
      <c r="E23" s="1" t="str">
        <f t="shared" ref="E23" si="20">IF(E22="","",IF(E24="","",","))</f>
        <v/>
      </c>
      <c r="F23" s="1" t="str">
        <f t="shared" ref="F23" si="21">IF(F22="","",IF(F24="","",","))</f>
        <v/>
      </c>
      <c r="G23" s="1" t="str">
        <f t="shared" ref="G23" si="22">IF(G22="","",IF(G24="","",","))</f>
        <v/>
      </c>
      <c r="H23" s="1" t="str">
        <f t="shared" ref="H23" si="23">IF(H22="","",IF(H24="","",","))</f>
        <v/>
      </c>
    </row>
    <row r="24" spans="1:9" x14ac:dyDescent="0.25">
      <c r="A24" s="40"/>
      <c r="B24" s="3"/>
      <c r="C24" s="4"/>
      <c r="D24" s="3"/>
      <c r="E24" s="4"/>
      <c r="F24" s="3"/>
      <c r="G24" s="4"/>
      <c r="H24" s="3"/>
    </row>
    <row r="25" spans="1:9" hidden="1" x14ac:dyDescent="0.25">
      <c r="A25" s="40"/>
      <c r="B25" s="1" t="str">
        <f>IF(B24="","",IF(B26="","",","))</f>
        <v/>
      </c>
      <c r="C25" s="1" t="str">
        <f t="shared" ref="C25" si="24">IF(C24="","",IF(C26="","",","))</f>
        <v/>
      </c>
      <c r="D25" s="1" t="str">
        <f t="shared" ref="D25" si="25">IF(D24="","",IF(D26="","",","))</f>
        <v/>
      </c>
      <c r="E25" s="1" t="str">
        <f t="shared" ref="E25" si="26">IF(E24="","",IF(E26="","",","))</f>
        <v/>
      </c>
      <c r="F25" s="1" t="str">
        <f t="shared" ref="F25" si="27">IF(F24="","",IF(F26="","",","))</f>
        <v/>
      </c>
      <c r="G25" s="1" t="str">
        <f t="shared" ref="G25" si="28">IF(G24="","",IF(G26="","",","))</f>
        <v/>
      </c>
      <c r="H25" s="1" t="str">
        <f t="shared" ref="H25" si="29">IF(H24="","",IF(H26="","",","))</f>
        <v/>
      </c>
    </row>
    <row r="26" spans="1:9" x14ac:dyDescent="0.25">
      <c r="A26" s="40"/>
      <c r="B26" s="3"/>
      <c r="C26" s="4"/>
      <c r="D26" s="3"/>
      <c r="E26" s="4"/>
      <c r="F26" s="3"/>
      <c r="G26" s="4"/>
      <c r="H26" s="3"/>
    </row>
    <row r="27" spans="1:9" hidden="1" x14ac:dyDescent="0.25">
      <c r="A27" s="40"/>
      <c r="B27" s="1" t="str">
        <f>IF(B26="","",IF(B28="","",","))</f>
        <v/>
      </c>
      <c r="C27" s="1" t="str">
        <f t="shared" ref="C27" si="30">IF(C26="","",IF(C28="","",","))</f>
        <v/>
      </c>
      <c r="D27" s="1" t="str">
        <f t="shared" ref="D27" si="31">IF(D26="","",IF(D28="","",","))</f>
        <v/>
      </c>
      <c r="E27" s="1" t="str">
        <f t="shared" ref="E27" si="32">IF(E26="","",IF(E28="","",","))</f>
        <v/>
      </c>
      <c r="F27" s="1" t="str">
        <f t="shared" ref="F27" si="33">IF(F26="","",IF(F28="","",","))</f>
        <v/>
      </c>
      <c r="G27" s="1" t="str">
        <f t="shared" ref="G27" si="34">IF(G26="","",IF(G28="","",","))</f>
        <v/>
      </c>
      <c r="H27" s="1" t="str">
        <f t="shared" ref="H27" si="35">IF(H26="","",IF(H28="","",","))</f>
        <v/>
      </c>
    </row>
    <row r="28" spans="1:9" x14ac:dyDescent="0.25">
      <c r="A28" s="40"/>
      <c r="B28" s="3"/>
      <c r="C28" s="4"/>
      <c r="D28" s="3"/>
      <c r="E28" s="4"/>
      <c r="F28" s="3"/>
      <c r="G28" s="4"/>
      <c r="H28" s="3"/>
    </row>
    <row r="29" spans="1:9" hidden="1" x14ac:dyDescent="0.25">
      <c r="A29" s="40"/>
      <c r="B29" s="1" t="str">
        <f>IF(B28="","",IF(B30="","",","))</f>
        <v/>
      </c>
      <c r="C29" s="1" t="str">
        <f t="shared" ref="C29" si="36">IF(C28="","",IF(C30="","",","))</f>
        <v/>
      </c>
      <c r="D29" s="1" t="str">
        <f t="shared" ref="D29" si="37">IF(D28="","",IF(D30="","",","))</f>
        <v/>
      </c>
      <c r="E29" s="1" t="str">
        <f t="shared" ref="E29" si="38">IF(E28="","",IF(E30="","",","))</f>
        <v/>
      </c>
      <c r="F29" s="1" t="str">
        <f t="shared" ref="F29" si="39">IF(F28="","",IF(F30="","",","))</f>
        <v/>
      </c>
      <c r="G29" s="1" t="str">
        <f t="shared" ref="G29" si="40">IF(G28="","",IF(G30="","",","))</f>
        <v/>
      </c>
      <c r="H29" s="1" t="str">
        <f t="shared" ref="H29" si="41">IF(H28="","",IF(H30="","",","))</f>
        <v/>
      </c>
    </row>
    <row r="30" spans="1:9" x14ac:dyDescent="0.25">
      <c r="A30" s="40"/>
      <c r="B30" s="3"/>
      <c r="C30" s="4"/>
      <c r="D30" s="3"/>
      <c r="E30" s="4"/>
      <c r="F30" s="3"/>
      <c r="G30" s="4"/>
      <c r="H30" s="3"/>
    </row>
    <row r="31" spans="1:9" x14ac:dyDescent="0.25">
      <c r="A31" s="2"/>
      <c r="B31" s="2">
        <f>IF(B12="","",1)</f>
        <v>1</v>
      </c>
      <c r="C31" s="2" t="str">
        <f t="shared" ref="C31:H31" si="42">IF(C12="","",1)</f>
        <v/>
      </c>
      <c r="D31" s="2" t="str">
        <f t="shared" si="42"/>
        <v/>
      </c>
      <c r="E31" s="2" t="str">
        <f t="shared" si="42"/>
        <v/>
      </c>
      <c r="F31" s="2" t="str">
        <f t="shared" si="42"/>
        <v/>
      </c>
      <c r="G31" s="2" t="str">
        <f t="shared" si="42"/>
        <v/>
      </c>
      <c r="H31" s="2" t="str">
        <f t="shared" si="42"/>
        <v/>
      </c>
      <c r="I31" s="2">
        <f>SUM(B31:H31)</f>
        <v>1</v>
      </c>
    </row>
    <row r="32" spans="1:9" x14ac:dyDescent="0.25">
      <c r="A32" s="2"/>
      <c r="B32" s="2">
        <f t="shared" ref="B32:H32" si="43">IF(B14="","",1)</f>
        <v>1</v>
      </c>
      <c r="C32" s="2" t="str">
        <f t="shared" si="43"/>
        <v/>
      </c>
      <c r="D32" s="2" t="str">
        <f t="shared" si="43"/>
        <v/>
      </c>
      <c r="E32" s="2" t="str">
        <f t="shared" si="43"/>
        <v/>
      </c>
      <c r="F32" s="2" t="str">
        <f t="shared" si="43"/>
        <v/>
      </c>
      <c r="G32" s="2" t="str">
        <f t="shared" si="43"/>
        <v/>
      </c>
      <c r="H32" s="2" t="str">
        <f t="shared" si="43"/>
        <v/>
      </c>
    </row>
    <row r="33" spans="1:8" x14ac:dyDescent="0.25">
      <c r="A33" s="2"/>
      <c r="B33" s="2">
        <f t="shared" ref="B33:H33" si="44">IF(B16="","",1)</f>
        <v>1</v>
      </c>
      <c r="C33" s="2" t="str">
        <f t="shared" si="44"/>
        <v/>
      </c>
      <c r="D33" s="2" t="str">
        <f t="shared" si="44"/>
        <v/>
      </c>
      <c r="E33" s="2" t="str">
        <f t="shared" si="44"/>
        <v/>
      </c>
      <c r="F33" s="2" t="str">
        <f t="shared" si="44"/>
        <v/>
      </c>
      <c r="G33" s="2" t="str">
        <f t="shared" si="44"/>
        <v/>
      </c>
      <c r="H33" s="2" t="str">
        <f t="shared" si="44"/>
        <v/>
      </c>
    </row>
    <row r="34" spans="1:8" x14ac:dyDescent="0.25">
      <c r="A34" s="2"/>
      <c r="B34" s="2">
        <f t="shared" ref="B34:H34" si="45">IF(B18="","",1)</f>
        <v>1</v>
      </c>
      <c r="C34" s="2" t="str">
        <f t="shared" si="45"/>
        <v/>
      </c>
      <c r="D34" s="2" t="str">
        <f t="shared" si="45"/>
        <v/>
      </c>
      <c r="E34" s="2" t="str">
        <f t="shared" si="45"/>
        <v/>
      </c>
      <c r="F34" s="2" t="str">
        <f t="shared" si="45"/>
        <v/>
      </c>
      <c r="G34" s="2" t="str">
        <f t="shared" si="45"/>
        <v/>
      </c>
      <c r="H34" s="2" t="str">
        <f t="shared" si="45"/>
        <v/>
      </c>
    </row>
    <row r="35" spans="1:8" x14ac:dyDescent="0.25">
      <c r="A35" s="2"/>
      <c r="B35" s="2" t="str">
        <f t="shared" ref="B35:H35" si="46">IF(B20="","",1)</f>
        <v/>
      </c>
      <c r="C35" s="2" t="str">
        <f t="shared" si="46"/>
        <v/>
      </c>
      <c r="D35" s="2" t="str">
        <f t="shared" si="46"/>
        <v/>
      </c>
      <c r="E35" s="2" t="str">
        <f t="shared" si="46"/>
        <v/>
      </c>
      <c r="F35" s="2" t="str">
        <f t="shared" si="46"/>
        <v/>
      </c>
      <c r="G35" s="2" t="str">
        <f t="shared" si="46"/>
        <v/>
      </c>
      <c r="H35" s="2" t="str">
        <f t="shared" si="46"/>
        <v/>
      </c>
    </row>
    <row r="36" spans="1:8" x14ac:dyDescent="0.25">
      <c r="A36" s="2"/>
      <c r="B36" s="2" t="str">
        <f t="shared" ref="B36:H36" si="47">IF(B22="","",1)</f>
        <v/>
      </c>
      <c r="C36" s="2" t="str">
        <f t="shared" si="47"/>
        <v/>
      </c>
      <c r="D36" s="2" t="str">
        <f t="shared" si="47"/>
        <v/>
      </c>
      <c r="E36" s="2" t="str">
        <f t="shared" si="47"/>
        <v/>
      </c>
      <c r="F36" s="2" t="str">
        <f t="shared" si="47"/>
        <v/>
      </c>
      <c r="G36" s="2" t="str">
        <f t="shared" si="47"/>
        <v/>
      </c>
      <c r="H36" s="2" t="str">
        <f t="shared" si="47"/>
        <v/>
      </c>
    </row>
    <row r="37" spans="1:8" x14ac:dyDescent="0.25">
      <c r="A37" s="2"/>
      <c r="B37" s="2" t="str">
        <f t="shared" ref="B37:H37" si="48">IF(B24="","",1)</f>
        <v/>
      </c>
      <c r="C37" s="2" t="str">
        <f t="shared" si="48"/>
        <v/>
      </c>
      <c r="D37" s="2" t="str">
        <f t="shared" si="48"/>
        <v/>
      </c>
      <c r="E37" s="2" t="str">
        <f t="shared" si="48"/>
        <v/>
      </c>
      <c r="F37" s="2" t="str">
        <f t="shared" si="48"/>
        <v/>
      </c>
      <c r="G37" s="2" t="str">
        <f t="shared" si="48"/>
        <v/>
      </c>
      <c r="H37" s="2" t="str">
        <f t="shared" si="48"/>
        <v/>
      </c>
    </row>
    <row r="38" spans="1:8" x14ac:dyDescent="0.25">
      <c r="A38" s="2"/>
      <c r="B38" s="2" t="str">
        <f t="shared" ref="B38:H38" si="49">IF(B26="","",1)</f>
        <v/>
      </c>
      <c r="C38" s="2" t="str">
        <f t="shared" si="49"/>
        <v/>
      </c>
      <c r="D38" s="2" t="str">
        <f t="shared" si="49"/>
        <v/>
      </c>
      <c r="E38" s="2" t="str">
        <f t="shared" si="49"/>
        <v/>
      </c>
      <c r="F38" s="2" t="str">
        <f t="shared" si="49"/>
        <v/>
      </c>
      <c r="G38" s="2" t="str">
        <f t="shared" si="49"/>
        <v/>
      </c>
      <c r="H38" s="2" t="str">
        <f t="shared" si="49"/>
        <v/>
      </c>
    </row>
    <row r="39" spans="1:8" x14ac:dyDescent="0.25">
      <c r="A39" s="2"/>
      <c r="B39" s="2" t="str">
        <f t="shared" ref="B39:H39" si="50">IF(B28="","",1)</f>
        <v/>
      </c>
      <c r="C39" s="2" t="str">
        <f t="shared" si="50"/>
        <v/>
      </c>
      <c r="D39" s="2" t="str">
        <f t="shared" si="50"/>
        <v/>
      </c>
      <c r="E39" s="2" t="str">
        <f t="shared" si="50"/>
        <v/>
      </c>
      <c r="F39" s="2" t="str">
        <f t="shared" si="50"/>
        <v/>
      </c>
      <c r="G39" s="2" t="str">
        <f t="shared" si="50"/>
        <v/>
      </c>
      <c r="H39" s="2" t="str">
        <f t="shared" si="50"/>
        <v/>
      </c>
    </row>
    <row r="40" spans="1:8" x14ac:dyDescent="0.25">
      <c r="A40" s="2"/>
      <c r="B40" s="2" t="str">
        <f t="shared" ref="B40:H40" si="51">IF(B30="","",1)</f>
        <v/>
      </c>
      <c r="C40" s="2" t="str">
        <f t="shared" si="51"/>
        <v/>
      </c>
      <c r="D40" s="2" t="str">
        <f t="shared" si="51"/>
        <v/>
      </c>
      <c r="E40" s="2" t="str">
        <f t="shared" si="51"/>
        <v/>
      </c>
      <c r="F40" s="2" t="str">
        <f t="shared" si="51"/>
        <v/>
      </c>
      <c r="G40" s="2" t="str">
        <f t="shared" si="51"/>
        <v/>
      </c>
      <c r="H40" s="2" t="str">
        <f t="shared" si="51"/>
        <v/>
      </c>
    </row>
    <row r="41" spans="1:8" x14ac:dyDescent="0.25">
      <c r="A41" s="2"/>
      <c r="B41" s="2"/>
      <c r="C41" s="2"/>
      <c r="D41" s="2"/>
      <c r="E41" s="2"/>
      <c r="F41" s="2"/>
      <c r="G41" s="2"/>
      <c r="H41" s="2"/>
    </row>
  </sheetData>
  <sheetProtection sheet="1" selectLockedCells="1"/>
  <mergeCells count="1">
    <mergeCell ref="A12:A30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zoomScaleNormal="100" workbookViewId="0">
      <selection sqref="A1:XFD1048576"/>
    </sheetView>
  </sheetViews>
  <sheetFormatPr defaultRowHeight="16.5" x14ac:dyDescent="0.25"/>
  <cols>
    <col min="1" max="1" width="9" style="24"/>
    <col min="5" max="5" width="6" customWidth="1"/>
    <col min="6" max="6" width="6.625" customWidth="1"/>
    <col min="7" max="7" width="5.75" customWidth="1"/>
    <col min="9" max="9" width="16.375" customWidth="1"/>
    <col min="10" max="10" width="7" customWidth="1"/>
    <col min="11" max="11" width="4.625" customWidth="1"/>
    <col min="12" max="12" width="3.25" customWidth="1"/>
  </cols>
  <sheetData>
    <row r="2" spans="1:12" ht="30" x14ac:dyDescent="0.25">
      <c r="A2" s="45" t="str">
        <f>CONCATENATE("彰化縣立鹿港國民中學教職員工",資料登打!B2,"月","加班請示單")</f>
        <v>彰化縣立鹿港國民中學教職員工3月加班請示單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39.950000000000003" customHeight="1" x14ac:dyDescent="0.25">
      <c r="A3" s="16" t="s">
        <v>1</v>
      </c>
      <c r="B3" s="15" t="s">
        <v>3</v>
      </c>
      <c r="C3" s="15" t="s">
        <v>5</v>
      </c>
      <c r="D3" s="15" t="s">
        <v>6</v>
      </c>
      <c r="E3" s="16" t="s">
        <v>7</v>
      </c>
      <c r="F3" s="15" t="s">
        <v>8</v>
      </c>
      <c r="G3" s="15" t="s">
        <v>9</v>
      </c>
      <c r="H3" s="15" t="s">
        <v>11</v>
      </c>
      <c r="I3" s="15" t="s">
        <v>12</v>
      </c>
      <c r="J3" s="46" t="s">
        <v>13</v>
      </c>
      <c r="K3" s="47"/>
      <c r="L3" s="47"/>
    </row>
    <row r="4" spans="1:12" ht="20.100000000000001" customHeight="1" x14ac:dyDescent="0.25">
      <c r="A4" s="41" t="str">
        <f>加班費印領清冊!A10</f>
        <v>主任</v>
      </c>
      <c r="B4" s="43" t="str">
        <f>加班費印領清冊!B10</f>
        <v/>
      </c>
      <c r="C4" s="41" t="str">
        <f>IF($A$4="","",資料登打!$J$1)</f>
        <v>第八節輔導課巡堂及交通指揮</v>
      </c>
      <c r="D4" s="44" t="str">
        <f>加班費印領清冊!C10</f>
        <v>6,13,20,27</v>
      </c>
      <c r="E4" s="41" t="str">
        <f>IF($A$4="","",CONCATENATE(資料登打!J3,":",資料登打!K3,資料登打!L2,資料登打!M3,":",資料登打!N3))</f>
        <v>16:20至17:20</v>
      </c>
      <c r="F4" s="41">
        <f>加班費印領清冊!J10</f>
        <v>4</v>
      </c>
      <c r="G4" s="41">
        <f>加班費印領清冊!K10</f>
        <v>0</v>
      </c>
      <c r="H4" s="42">
        <f>IF($A$4="","",F4*G4)</f>
        <v>0</v>
      </c>
      <c r="I4" s="43"/>
      <c r="J4" s="38" t="str">
        <f>IF($A$4="","","月支薪俸")</f>
        <v>月支薪俸</v>
      </c>
      <c r="K4" s="36">
        <f>IF(資料登打!$I$31&gt;0,VLOOKUP(簽到簿!$X$3,印2,20,FALSE),"")</f>
        <v>0</v>
      </c>
      <c r="L4" s="13" t="str">
        <f>IF(K4="","","元")</f>
        <v>元</v>
      </c>
    </row>
    <row r="5" spans="1:12" ht="20.100000000000001" customHeight="1" x14ac:dyDescent="0.25">
      <c r="A5" s="41"/>
      <c r="B5" s="43"/>
      <c r="C5" s="41"/>
      <c r="D5" s="44"/>
      <c r="E5" s="41"/>
      <c r="F5" s="41"/>
      <c r="G5" s="41"/>
      <c r="H5" s="42"/>
      <c r="I5" s="43"/>
      <c r="J5" s="39" t="str">
        <f>IF($A$4="","","專業加給")</f>
        <v>專業加給</v>
      </c>
      <c r="K5" s="36">
        <f>IF(資料登打!$I$31&gt;0,VLOOKUP(簽到簿!$X$3,印2,21,FALSE),"")</f>
        <v>0</v>
      </c>
      <c r="L5" s="12" t="str">
        <f t="shared" ref="L5:L31" si="0">IF(K5="","","元")</f>
        <v>元</v>
      </c>
    </row>
    <row r="6" spans="1:12" ht="20.100000000000001" customHeight="1" x14ac:dyDescent="0.25">
      <c r="A6" s="41"/>
      <c r="B6" s="43"/>
      <c r="C6" s="41"/>
      <c r="D6" s="44"/>
      <c r="E6" s="41"/>
      <c r="F6" s="41"/>
      <c r="G6" s="41"/>
      <c r="H6" s="42"/>
      <c r="I6" s="43"/>
      <c r="J6" s="39" t="str">
        <f>IF($A$4="","","主管加給")</f>
        <v>主管加給</v>
      </c>
      <c r="K6" s="36">
        <f>IF(資料登打!$I$31&gt;0,VLOOKUP(簽到簿!$X$3,印2,22,FALSE),"")</f>
        <v>0</v>
      </c>
      <c r="L6" s="12" t="str">
        <f t="shared" si="0"/>
        <v>元</v>
      </c>
    </row>
    <row r="7" spans="1:12" ht="20.100000000000001" customHeight="1" x14ac:dyDescent="0.25">
      <c r="A7" s="41"/>
      <c r="B7" s="43"/>
      <c r="C7" s="41"/>
      <c r="D7" s="44"/>
      <c r="E7" s="41"/>
      <c r="F7" s="41"/>
      <c r="G7" s="41"/>
      <c r="H7" s="42"/>
      <c r="I7" s="43"/>
      <c r="J7" s="39" t="str">
        <f>IF($A$4="","","合    計")</f>
        <v>合    計</v>
      </c>
      <c r="K7" s="37">
        <f>IF($A$4="","",K4+K5+K6)</f>
        <v>0</v>
      </c>
      <c r="L7" s="12" t="str">
        <f t="shared" si="0"/>
        <v>元</v>
      </c>
    </row>
    <row r="8" spans="1:12" ht="20.100000000000001" customHeight="1" x14ac:dyDescent="0.25">
      <c r="A8" s="41" t="str">
        <f>加班費印領清冊!A11</f>
        <v/>
      </c>
      <c r="B8" s="43" t="str">
        <f>加班費印領清冊!B11</f>
        <v/>
      </c>
      <c r="C8" s="41" t="str">
        <f>IF($A$8="","",資料登打!$J$1)</f>
        <v/>
      </c>
      <c r="D8" s="44" t="str">
        <f>加班費印領清冊!C11</f>
        <v/>
      </c>
      <c r="E8" s="41" t="str">
        <f>IF($A$8="","",CONCATENATE(資料登打!J3,":",資料登打!K3,資料登打!L2,資料登打!M3,":",資料登打!N3))</f>
        <v/>
      </c>
      <c r="F8" s="41" t="str">
        <f>加班費印領清冊!J11</f>
        <v/>
      </c>
      <c r="G8" s="41" t="str">
        <f>加班費印領清冊!K11</f>
        <v/>
      </c>
      <c r="H8" s="42" t="str">
        <f>IF($A$8="","",F8*G8)</f>
        <v/>
      </c>
      <c r="I8" s="43"/>
      <c r="J8" s="39" t="str">
        <f>IF($A$8="","","月支薪俸")</f>
        <v/>
      </c>
      <c r="K8" s="37" t="str">
        <f>IF(資料登打!$I$31&gt;1,VLOOKUP(簽到簿!$X$4,印2,20,FALSE),"")</f>
        <v/>
      </c>
      <c r="L8" s="12" t="str">
        <f t="shared" si="0"/>
        <v/>
      </c>
    </row>
    <row r="9" spans="1:12" ht="20.100000000000001" customHeight="1" x14ac:dyDescent="0.25">
      <c r="A9" s="41"/>
      <c r="B9" s="43"/>
      <c r="C9" s="41"/>
      <c r="D9" s="44"/>
      <c r="E9" s="41"/>
      <c r="F9" s="41"/>
      <c r="G9" s="41"/>
      <c r="H9" s="42"/>
      <c r="I9" s="43"/>
      <c r="J9" s="39" t="str">
        <f>IF($A$8="","","專業加給")</f>
        <v/>
      </c>
      <c r="K9" s="37" t="str">
        <f>IF(資料登打!$I$31&gt;1,VLOOKUP(簽到簿!$X$4,印2,21,FALSE),"")</f>
        <v/>
      </c>
      <c r="L9" s="12" t="str">
        <f t="shared" si="0"/>
        <v/>
      </c>
    </row>
    <row r="10" spans="1:12" ht="20.100000000000001" customHeight="1" x14ac:dyDescent="0.25">
      <c r="A10" s="41"/>
      <c r="B10" s="43"/>
      <c r="C10" s="41"/>
      <c r="D10" s="44"/>
      <c r="E10" s="41"/>
      <c r="F10" s="41"/>
      <c r="G10" s="41"/>
      <c r="H10" s="42"/>
      <c r="I10" s="43"/>
      <c r="J10" s="39" t="str">
        <f>IF($A$8="","","主管加給")</f>
        <v/>
      </c>
      <c r="K10" s="37" t="str">
        <f>IF(資料登打!$I$31&gt;1,VLOOKUP(簽到簿!$X$4,印2,22,FALSE),"")</f>
        <v/>
      </c>
      <c r="L10" s="12" t="str">
        <f t="shared" si="0"/>
        <v/>
      </c>
    </row>
    <row r="11" spans="1:12" ht="20.100000000000001" customHeight="1" x14ac:dyDescent="0.25">
      <c r="A11" s="41"/>
      <c r="B11" s="43"/>
      <c r="C11" s="41"/>
      <c r="D11" s="44"/>
      <c r="E11" s="41"/>
      <c r="F11" s="41"/>
      <c r="G11" s="41"/>
      <c r="H11" s="42"/>
      <c r="I11" s="43"/>
      <c r="J11" s="39" t="str">
        <f>IF($A$8="","","合    計")</f>
        <v/>
      </c>
      <c r="K11" s="37" t="str">
        <f>IF($A$8="","",K8+K9+K10)</f>
        <v/>
      </c>
      <c r="L11" s="12" t="str">
        <f t="shared" si="0"/>
        <v/>
      </c>
    </row>
    <row r="12" spans="1:12" ht="20.100000000000001" customHeight="1" x14ac:dyDescent="0.25">
      <c r="A12" s="41" t="str">
        <f>加班費印領清冊!A12</f>
        <v/>
      </c>
      <c r="B12" s="43" t="str">
        <f>加班費印領清冊!B12</f>
        <v/>
      </c>
      <c r="C12" s="41" t="str">
        <f>IF($A$12="","",資料登打!$J$1)</f>
        <v/>
      </c>
      <c r="D12" s="44" t="str">
        <f>加班費印領清冊!C12</f>
        <v/>
      </c>
      <c r="E12" s="41" t="str">
        <f>IF($A$12="","",CONCATENATE(資料登打!J3,":",資料登打!K3,資料登打!L2,資料登打!M3,":",資料登打!N3))</f>
        <v/>
      </c>
      <c r="F12" s="41" t="str">
        <f>加班費印領清冊!J12</f>
        <v/>
      </c>
      <c r="G12" s="41" t="str">
        <f>加班費印領清冊!K12</f>
        <v/>
      </c>
      <c r="H12" s="42" t="str">
        <f>IF($A$12="","",F12*G12)</f>
        <v/>
      </c>
      <c r="I12" s="43"/>
      <c r="J12" s="39" t="str">
        <f>IF($A$12="","","月支薪俸")</f>
        <v/>
      </c>
      <c r="K12" s="37" t="str">
        <f>IF(資料登打!$I$31&gt;2,VLOOKUP(簽到簿!$X$5,印2,20,FALSE),"")</f>
        <v/>
      </c>
      <c r="L12" s="12" t="str">
        <f t="shared" si="0"/>
        <v/>
      </c>
    </row>
    <row r="13" spans="1:12" ht="20.100000000000001" customHeight="1" x14ac:dyDescent="0.25">
      <c r="A13" s="41"/>
      <c r="B13" s="43"/>
      <c r="C13" s="41"/>
      <c r="D13" s="44"/>
      <c r="E13" s="41"/>
      <c r="F13" s="41"/>
      <c r="G13" s="41"/>
      <c r="H13" s="42"/>
      <c r="I13" s="43"/>
      <c r="J13" s="39" t="str">
        <f>IF($A$12="","","專業加給")</f>
        <v/>
      </c>
      <c r="K13" s="37" t="str">
        <f>IF(資料登打!$I$31&gt;2,VLOOKUP(簽到簿!$X$5,印2,21,FALSE),"")</f>
        <v/>
      </c>
      <c r="L13" s="12" t="str">
        <f t="shared" si="0"/>
        <v/>
      </c>
    </row>
    <row r="14" spans="1:12" ht="20.100000000000001" customHeight="1" x14ac:dyDescent="0.25">
      <c r="A14" s="41"/>
      <c r="B14" s="43"/>
      <c r="C14" s="41"/>
      <c r="D14" s="44"/>
      <c r="E14" s="41"/>
      <c r="F14" s="41"/>
      <c r="G14" s="41"/>
      <c r="H14" s="42"/>
      <c r="I14" s="43"/>
      <c r="J14" s="39" t="str">
        <f>IF($A$12="","","主管加給")</f>
        <v/>
      </c>
      <c r="K14" s="37" t="str">
        <f>IF(資料登打!$I$31&gt;2,VLOOKUP(簽到簿!$X$5,印2,22,FALSE),"")</f>
        <v/>
      </c>
      <c r="L14" s="12" t="str">
        <f t="shared" si="0"/>
        <v/>
      </c>
    </row>
    <row r="15" spans="1:12" ht="20.100000000000001" customHeight="1" x14ac:dyDescent="0.25">
      <c r="A15" s="41"/>
      <c r="B15" s="43"/>
      <c r="C15" s="41"/>
      <c r="D15" s="44"/>
      <c r="E15" s="41"/>
      <c r="F15" s="41"/>
      <c r="G15" s="41"/>
      <c r="H15" s="42"/>
      <c r="I15" s="43"/>
      <c r="J15" s="39" t="str">
        <f>IF($A$12="","","合    計")</f>
        <v/>
      </c>
      <c r="K15" s="37" t="str">
        <f>IF($A$12="","",K12+K13+K14)</f>
        <v/>
      </c>
      <c r="L15" s="12" t="str">
        <f t="shared" si="0"/>
        <v/>
      </c>
    </row>
    <row r="16" spans="1:12" ht="20.25" customHeight="1" x14ac:dyDescent="0.25">
      <c r="A16" s="41" t="str">
        <f>加班費印領清冊!A13</f>
        <v/>
      </c>
      <c r="B16" s="43" t="str">
        <f>加班費印領清冊!B13</f>
        <v/>
      </c>
      <c r="C16" s="41" t="str">
        <f>IF($A$16="","",資料登打!$J$1)</f>
        <v/>
      </c>
      <c r="D16" s="44" t="str">
        <f>加班費印領清冊!C13</f>
        <v/>
      </c>
      <c r="E16" s="41" t="str">
        <f>IF($A$16="","",CONCATENATE(資料登打!J3,":",資料登打!K3,資料登打!L2,資料登打!M3,":",資料登打!N3))</f>
        <v/>
      </c>
      <c r="F16" s="41" t="str">
        <f>加班費印領清冊!J13</f>
        <v/>
      </c>
      <c r="G16" s="41" t="str">
        <f>加班費印領清冊!K13</f>
        <v/>
      </c>
      <c r="H16" s="42" t="str">
        <f>IF($A$16="","",F16*G16)</f>
        <v/>
      </c>
      <c r="I16" s="43"/>
      <c r="J16" s="39" t="str">
        <f>IF($A$16="","","月支薪俸")</f>
        <v/>
      </c>
      <c r="K16" s="37" t="str">
        <f>IF(資料登打!$I$31&gt;3,VLOOKUP(簽到簿!$X$6,印2,20,FALSE),"")</f>
        <v/>
      </c>
      <c r="L16" s="12" t="str">
        <f t="shared" si="0"/>
        <v/>
      </c>
    </row>
    <row r="17" spans="1:12" ht="20.100000000000001" customHeight="1" x14ac:dyDescent="0.25">
      <c r="A17" s="41"/>
      <c r="B17" s="43"/>
      <c r="C17" s="41"/>
      <c r="D17" s="44"/>
      <c r="E17" s="41"/>
      <c r="F17" s="41"/>
      <c r="G17" s="41"/>
      <c r="H17" s="42"/>
      <c r="I17" s="43"/>
      <c r="J17" s="39" t="str">
        <f>IF($A$16="","","專業加給")</f>
        <v/>
      </c>
      <c r="K17" s="37" t="str">
        <f>IF(資料登打!$I$31&gt;3,VLOOKUP(簽到簿!$X$6,印2,21,FALSE),"")</f>
        <v/>
      </c>
      <c r="L17" s="12" t="str">
        <f t="shared" si="0"/>
        <v/>
      </c>
    </row>
    <row r="18" spans="1:12" ht="20.100000000000001" customHeight="1" x14ac:dyDescent="0.25">
      <c r="A18" s="41"/>
      <c r="B18" s="43"/>
      <c r="C18" s="41"/>
      <c r="D18" s="44"/>
      <c r="E18" s="41"/>
      <c r="F18" s="41"/>
      <c r="G18" s="41"/>
      <c r="H18" s="42"/>
      <c r="I18" s="43"/>
      <c r="J18" s="39" t="str">
        <f>IF($A$16="","","主管加給")</f>
        <v/>
      </c>
      <c r="K18" s="37" t="str">
        <f>IF(資料登打!$I$31&gt;3,VLOOKUP(簽到簿!$X$6,印2,22,FALSE),"")</f>
        <v/>
      </c>
      <c r="L18" s="12" t="str">
        <f t="shared" si="0"/>
        <v/>
      </c>
    </row>
    <row r="19" spans="1:12" ht="20.100000000000001" customHeight="1" x14ac:dyDescent="0.25">
      <c r="A19" s="41"/>
      <c r="B19" s="43"/>
      <c r="C19" s="41"/>
      <c r="D19" s="44"/>
      <c r="E19" s="41"/>
      <c r="F19" s="41"/>
      <c r="G19" s="41"/>
      <c r="H19" s="42"/>
      <c r="I19" s="43"/>
      <c r="J19" s="39" t="str">
        <f>IF($A$16="","","合    計")</f>
        <v/>
      </c>
      <c r="K19" s="37" t="str">
        <f>IF($A$16="","",K16+K17+K18)</f>
        <v/>
      </c>
      <c r="L19" s="12" t="str">
        <f t="shared" si="0"/>
        <v/>
      </c>
    </row>
    <row r="20" spans="1:12" ht="20.100000000000001" customHeight="1" x14ac:dyDescent="0.25">
      <c r="A20" s="41" t="str">
        <f>加班費印領清冊!A14</f>
        <v/>
      </c>
      <c r="B20" s="43" t="str">
        <f>加班費印領清冊!B14</f>
        <v/>
      </c>
      <c r="C20" s="41" t="str">
        <f>IF($A$20="","",資料登打!$J$1)</f>
        <v/>
      </c>
      <c r="D20" s="44" t="str">
        <f>加班費印領清冊!C14</f>
        <v/>
      </c>
      <c r="E20" s="41" t="str">
        <f>IF($A$20="","",CONCATENATE(資料登打!J3,":",資料登打!K3,資料登打!L2,資料登打!M3,":",資料登打!N3))</f>
        <v/>
      </c>
      <c r="F20" s="41" t="str">
        <f>加班費印領清冊!J14</f>
        <v/>
      </c>
      <c r="G20" s="41" t="str">
        <f>加班費印領清冊!K14</f>
        <v/>
      </c>
      <c r="H20" s="42" t="str">
        <f>IF($A$20="","",F20*G20)</f>
        <v/>
      </c>
      <c r="I20" s="43"/>
      <c r="J20" s="39" t="str">
        <f>IF($A$20="","","月支薪俸")</f>
        <v/>
      </c>
      <c r="K20" s="37" t="str">
        <f>IF(資料登打!$I$31&gt;4,VLOOKUP(簽到簿!$X$7,印2,20,FALSE),"")</f>
        <v/>
      </c>
      <c r="L20" s="12" t="str">
        <f t="shared" si="0"/>
        <v/>
      </c>
    </row>
    <row r="21" spans="1:12" ht="20.100000000000001" customHeight="1" x14ac:dyDescent="0.25">
      <c r="A21" s="41"/>
      <c r="B21" s="43"/>
      <c r="C21" s="41"/>
      <c r="D21" s="44"/>
      <c r="E21" s="41"/>
      <c r="F21" s="41"/>
      <c r="G21" s="41"/>
      <c r="H21" s="42"/>
      <c r="I21" s="43"/>
      <c r="J21" s="39" t="str">
        <f>IF($A$20="","","專業加給")</f>
        <v/>
      </c>
      <c r="K21" s="37" t="str">
        <f>IF(資料登打!$I$31&gt;4,VLOOKUP(簽到簿!$X$7,印2,21,FALSE),"")</f>
        <v/>
      </c>
      <c r="L21" s="12" t="str">
        <f t="shared" si="0"/>
        <v/>
      </c>
    </row>
    <row r="22" spans="1:12" ht="20.100000000000001" customHeight="1" x14ac:dyDescent="0.25">
      <c r="A22" s="41"/>
      <c r="B22" s="43"/>
      <c r="C22" s="41"/>
      <c r="D22" s="44"/>
      <c r="E22" s="41"/>
      <c r="F22" s="41"/>
      <c r="G22" s="41"/>
      <c r="H22" s="42"/>
      <c r="I22" s="43"/>
      <c r="J22" s="39" t="str">
        <f>IF($A$20="","","主管加給")</f>
        <v/>
      </c>
      <c r="K22" s="37" t="str">
        <f>IF(資料登打!$I$31&gt;4,VLOOKUP(簽到簿!$X$7,印2,22,FALSE),"")</f>
        <v/>
      </c>
      <c r="L22" s="12" t="str">
        <f t="shared" si="0"/>
        <v/>
      </c>
    </row>
    <row r="23" spans="1:12" ht="20.100000000000001" customHeight="1" x14ac:dyDescent="0.25">
      <c r="A23" s="41"/>
      <c r="B23" s="43"/>
      <c r="C23" s="41"/>
      <c r="D23" s="44"/>
      <c r="E23" s="41"/>
      <c r="F23" s="41"/>
      <c r="G23" s="41"/>
      <c r="H23" s="42"/>
      <c r="I23" s="43"/>
      <c r="J23" s="39" t="str">
        <f>IF($A$20="","","合    計")</f>
        <v/>
      </c>
      <c r="K23" s="37" t="str">
        <f>IF($A$20="","",K20+K21+K22)</f>
        <v/>
      </c>
      <c r="L23" s="12" t="str">
        <f t="shared" si="0"/>
        <v/>
      </c>
    </row>
    <row r="24" spans="1:12" ht="20.100000000000001" customHeight="1" x14ac:dyDescent="0.25">
      <c r="A24" s="41" t="str">
        <f>加班費印領清冊!A15</f>
        <v/>
      </c>
      <c r="B24" s="43" t="str">
        <f>加班費印領清冊!B15</f>
        <v/>
      </c>
      <c r="C24" s="41" t="str">
        <f>IF($A$24="","",資料登打!$J$1)</f>
        <v/>
      </c>
      <c r="D24" s="44" t="str">
        <f>加班費印領清冊!C15</f>
        <v/>
      </c>
      <c r="E24" s="41" t="str">
        <f>IF($A$24="","",CONCATENATE(資料登打!J3,":",資料登打!K3,資料登打!L2,資料登打!M3,":",資料登打!N3))</f>
        <v/>
      </c>
      <c r="F24" s="41" t="str">
        <f>加班費印領清冊!J15</f>
        <v/>
      </c>
      <c r="G24" s="41" t="str">
        <f>加班費印領清冊!K15</f>
        <v/>
      </c>
      <c r="H24" s="42" t="str">
        <f>IF($A$24="","",F24*G24)</f>
        <v/>
      </c>
      <c r="I24" s="43"/>
      <c r="J24" s="39" t="str">
        <f>IF($A$24="","","月支薪俸")</f>
        <v/>
      </c>
      <c r="K24" s="37" t="str">
        <f>IF(資料登打!$I$31&gt;5,VLOOKUP(簽到簿!$X$8,印2,20,FALSE),"")</f>
        <v/>
      </c>
      <c r="L24" s="12" t="str">
        <f t="shared" si="0"/>
        <v/>
      </c>
    </row>
    <row r="25" spans="1:12" ht="20.100000000000001" customHeight="1" x14ac:dyDescent="0.25">
      <c r="A25" s="41"/>
      <c r="B25" s="43"/>
      <c r="C25" s="41"/>
      <c r="D25" s="44"/>
      <c r="E25" s="41"/>
      <c r="F25" s="41"/>
      <c r="G25" s="41"/>
      <c r="H25" s="42"/>
      <c r="I25" s="43"/>
      <c r="J25" s="39" t="str">
        <f>IF($A$24="","","專業加給")</f>
        <v/>
      </c>
      <c r="K25" s="37" t="str">
        <f>IF(資料登打!$I$31&gt;5,VLOOKUP(簽到簿!$X$8,印2,21,FALSE),"")</f>
        <v/>
      </c>
      <c r="L25" s="12" t="str">
        <f t="shared" si="0"/>
        <v/>
      </c>
    </row>
    <row r="26" spans="1:12" ht="20.100000000000001" customHeight="1" x14ac:dyDescent="0.25">
      <c r="A26" s="41"/>
      <c r="B26" s="43"/>
      <c r="C26" s="41"/>
      <c r="D26" s="44"/>
      <c r="E26" s="41"/>
      <c r="F26" s="41"/>
      <c r="G26" s="41"/>
      <c r="H26" s="42"/>
      <c r="I26" s="43"/>
      <c r="J26" s="39" t="str">
        <f>IF($A$24="","","主管加給")</f>
        <v/>
      </c>
      <c r="K26" s="37" t="str">
        <f>IF(資料登打!$I$31&gt;5,VLOOKUP(簽到簿!$X$8,印2,22,FALSE),"")</f>
        <v/>
      </c>
      <c r="L26" s="12" t="str">
        <f t="shared" si="0"/>
        <v/>
      </c>
    </row>
    <row r="27" spans="1:12" ht="20.100000000000001" customHeight="1" x14ac:dyDescent="0.25">
      <c r="A27" s="41"/>
      <c r="B27" s="43"/>
      <c r="C27" s="41"/>
      <c r="D27" s="44"/>
      <c r="E27" s="41"/>
      <c r="F27" s="41"/>
      <c r="G27" s="41"/>
      <c r="H27" s="42"/>
      <c r="I27" s="43"/>
      <c r="J27" s="39" t="str">
        <f>IF($A$24="","","合    計")</f>
        <v/>
      </c>
      <c r="K27" s="37" t="str">
        <f>IF($A$24="","",K24+K25+K26)</f>
        <v/>
      </c>
      <c r="L27" s="12" t="str">
        <f t="shared" si="0"/>
        <v/>
      </c>
    </row>
    <row r="28" spans="1:12" ht="20.100000000000001" customHeight="1" x14ac:dyDescent="0.25">
      <c r="A28" s="41" t="str">
        <f>加班費印領清冊!A16</f>
        <v/>
      </c>
      <c r="B28" s="43" t="str">
        <f>加班費印領清冊!B16</f>
        <v/>
      </c>
      <c r="C28" s="41" t="str">
        <f>IF($A$28="","",資料登打!$J$1)</f>
        <v/>
      </c>
      <c r="D28" s="44" t="str">
        <f>加班費印領清冊!C16</f>
        <v/>
      </c>
      <c r="E28" s="41" t="str">
        <f>IF($A$28="","",CONCATENATE(資料登打!J3,":",資料登打!K3,資料登打!L2,資料登打!M3,":",資料登打!N3))</f>
        <v/>
      </c>
      <c r="F28" s="41" t="str">
        <f>加班費印領清冊!J16</f>
        <v/>
      </c>
      <c r="G28" s="41" t="str">
        <f>加班費印領清冊!K16</f>
        <v/>
      </c>
      <c r="H28" s="42" t="str">
        <f>IF($A$28="","",F28*G28)</f>
        <v/>
      </c>
      <c r="I28" s="43"/>
      <c r="J28" s="39" t="str">
        <f>IF($A$28="","","月支薪俸")</f>
        <v/>
      </c>
      <c r="K28" s="37" t="str">
        <f>IF(資料登打!$I$31&gt;6,VLOOKUP(簽到簿!$X$9,印2,20,FALSE),"")</f>
        <v/>
      </c>
      <c r="L28" s="12" t="str">
        <f t="shared" si="0"/>
        <v/>
      </c>
    </row>
    <row r="29" spans="1:12" ht="20.100000000000001" customHeight="1" x14ac:dyDescent="0.25">
      <c r="A29" s="41"/>
      <c r="B29" s="43"/>
      <c r="C29" s="41"/>
      <c r="D29" s="44"/>
      <c r="E29" s="41"/>
      <c r="F29" s="41"/>
      <c r="G29" s="41"/>
      <c r="H29" s="42"/>
      <c r="I29" s="43"/>
      <c r="J29" s="39" t="str">
        <f>IF($A$28="","","專業加給")</f>
        <v/>
      </c>
      <c r="K29" s="37" t="str">
        <f>IF(資料登打!$I$31&gt;6,VLOOKUP(簽到簿!$X$9,印2,21,FALSE),"")</f>
        <v/>
      </c>
      <c r="L29" s="12" t="str">
        <f t="shared" si="0"/>
        <v/>
      </c>
    </row>
    <row r="30" spans="1:12" ht="20.100000000000001" customHeight="1" x14ac:dyDescent="0.25">
      <c r="A30" s="41"/>
      <c r="B30" s="43"/>
      <c r="C30" s="41"/>
      <c r="D30" s="44"/>
      <c r="E30" s="41"/>
      <c r="F30" s="41"/>
      <c r="G30" s="41"/>
      <c r="H30" s="42"/>
      <c r="I30" s="43"/>
      <c r="J30" s="39" t="str">
        <f>IF($A$28="","","主管加給")</f>
        <v/>
      </c>
      <c r="K30" s="37" t="str">
        <f>IF(資料登打!$I$31&gt;6,VLOOKUP(簽到簿!$X$9,印2,22,FALSE),"")</f>
        <v/>
      </c>
      <c r="L30" s="12" t="str">
        <f t="shared" si="0"/>
        <v/>
      </c>
    </row>
    <row r="31" spans="1:12" ht="20.100000000000001" customHeight="1" x14ac:dyDescent="0.25">
      <c r="A31" s="41"/>
      <c r="B31" s="43"/>
      <c r="C31" s="41"/>
      <c r="D31" s="44"/>
      <c r="E31" s="41"/>
      <c r="F31" s="41"/>
      <c r="G31" s="41"/>
      <c r="H31" s="42"/>
      <c r="I31" s="43"/>
      <c r="J31" s="39" t="str">
        <f>IF($A$28="","","合    計")</f>
        <v/>
      </c>
      <c r="K31" s="37" t="str">
        <f>IF($A$28="","",K28+K29+K30)</f>
        <v/>
      </c>
      <c r="L31" s="12" t="str">
        <f t="shared" si="0"/>
        <v/>
      </c>
    </row>
    <row r="32" spans="1:12" ht="30" customHeight="1" x14ac:dyDescent="0.25">
      <c r="A32" s="43" t="s">
        <v>43</v>
      </c>
      <c r="B32" s="43"/>
      <c r="C32" s="43"/>
      <c r="D32" s="43"/>
      <c r="E32" s="43"/>
      <c r="F32" s="43"/>
      <c r="G32" s="43"/>
      <c r="H32" s="14">
        <f>SUM(H4:H28)</f>
        <v>0</v>
      </c>
      <c r="I32" s="10"/>
      <c r="J32" s="48"/>
      <c r="K32" s="49"/>
      <c r="L32" s="50"/>
    </row>
    <row r="34" spans="1:8" x14ac:dyDescent="0.25">
      <c r="A34" s="24" t="s">
        <v>53</v>
      </c>
      <c r="D34" t="s">
        <v>48</v>
      </c>
      <c r="H34" t="s">
        <v>51</v>
      </c>
    </row>
  </sheetData>
  <sheetProtection sheet="1" selectLockedCells="1"/>
  <mergeCells count="67">
    <mergeCell ref="H28:H31"/>
    <mergeCell ref="I28:I31"/>
    <mergeCell ref="J3:L3"/>
    <mergeCell ref="A32:G32"/>
    <mergeCell ref="J32:L32"/>
    <mergeCell ref="F24:F27"/>
    <mergeCell ref="I16:I19"/>
    <mergeCell ref="A20:A23"/>
    <mergeCell ref="B20:B23"/>
    <mergeCell ref="C20:C23"/>
    <mergeCell ref="D20:D23"/>
    <mergeCell ref="E20:E23"/>
    <mergeCell ref="F20:F23"/>
    <mergeCell ref="G20:G23"/>
    <mergeCell ref="H20:H23"/>
    <mergeCell ref="I20:I23"/>
    <mergeCell ref="A2:L2"/>
    <mergeCell ref="G24:G27"/>
    <mergeCell ref="H24:H27"/>
    <mergeCell ref="I24:I27"/>
    <mergeCell ref="A28:A31"/>
    <mergeCell ref="B28:B31"/>
    <mergeCell ref="C28:C31"/>
    <mergeCell ref="D28:D31"/>
    <mergeCell ref="E28:E31"/>
    <mergeCell ref="F28:F31"/>
    <mergeCell ref="G28:G31"/>
    <mergeCell ref="A24:A27"/>
    <mergeCell ref="B24:B27"/>
    <mergeCell ref="C24:C27"/>
    <mergeCell ref="D24:D27"/>
    <mergeCell ref="E24:E27"/>
    <mergeCell ref="H12:H15"/>
    <mergeCell ref="I12:I15"/>
    <mergeCell ref="A16:A19"/>
    <mergeCell ref="B16:B19"/>
    <mergeCell ref="C16:C19"/>
    <mergeCell ref="D16:D19"/>
    <mergeCell ref="E16:E19"/>
    <mergeCell ref="F16:F19"/>
    <mergeCell ref="G16:G19"/>
    <mergeCell ref="H16:H19"/>
    <mergeCell ref="G8:G11"/>
    <mergeCell ref="H8:H11"/>
    <mergeCell ref="I8:I11"/>
    <mergeCell ref="A12:A15"/>
    <mergeCell ref="B12:B15"/>
    <mergeCell ref="C12:C15"/>
    <mergeCell ref="D12:D15"/>
    <mergeCell ref="E12:E15"/>
    <mergeCell ref="F12:F15"/>
    <mergeCell ref="G12:G15"/>
    <mergeCell ref="A8:A11"/>
    <mergeCell ref="B8:B11"/>
    <mergeCell ref="C8:C11"/>
    <mergeCell ref="D8:D11"/>
    <mergeCell ref="E8:E11"/>
    <mergeCell ref="F8:F11"/>
    <mergeCell ref="F4:F7"/>
    <mergeCell ref="G4:G7"/>
    <mergeCell ref="H4:H7"/>
    <mergeCell ref="I4:I7"/>
    <mergeCell ref="A4:A7"/>
    <mergeCell ref="B4:B7"/>
    <mergeCell ref="C4:C7"/>
    <mergeCell ref="D4:D7"/>
    <mergeCell ref="E4:E7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"/>
  <sheetViews>
    <sheetView tabSelected="1" topLeftCell="Y1" workbookViewId="0">
      <selection activeCell="AB2" sqref="AB1:AB1048576"/>
    </sheetView>
  </sheetViews>
  <sheetFormatPr defaultRowHeight="16.5" x14ac:dyDescent="0.25"/>
  <cols>
    <col min="1" max="23" width="9" hidden="1" customWidth="1"/>
    <col min="24" max="24" width="9.5" hidden="1" customWidth="1"/>
    <col min="25" max="25" width="9" customWidth="1"/>
    <col min="26" max="26" width="5" customWidth="1"/>
    <col min="27" max="27" width="9" style="23" customWidth="1"/>
    <col min="28" max="28" width="9" hidden="1" customWidth="1"/>
    <col min="29" max="29" width="5" customWidth="1"/>
    <col min="30" max="30" width="4.875" customWidth="1"/>
    <col min="31" max="31" width="20.625" customWidth="1"/>
    <col min="32" max="32" width="4.375" customWidth="1"/>
    <col min="33" max="33" width="5.125" customWidth="1"/>
    <col min="34" max="34" width="20.625" customWidth="1"/>
  </cols>
  <sheetData>
    <row r="1" spans="1:34" ht="25.5" x14ac:dyDescent="0.25">
      <c r="Y1" s="51" t="str">
        <f>CONCATENATE(資料登打!B2,"月","第八節輔導課加班簽到(退)簿")</f>
        <v>3月第八節輔導課加班簽到(退)簿</v>
      </c>
      <c r="Z1" s="51"/>
      <c r="AA1" s="51"/>
      <c r="AB1" s="51"/>
      <c r="AC1" s="51"/>
      <c r="AD1" s="51"/>
      <c r="AE1" s="51"/>
      <c r="AF1" s="51"/>
      <c r="AG1" s="51"/>
      <c r="AH1" s="51"/>
    </row>
    <row r="2" spans="1:34" ht="27" customHeight="1" x14ac:dyDescent="0.25">
      <c r="H2" s="10" t="s">
        <v>57</v>
      </c>
      <c r="I2" s="10" t="s">
        <v>65</v>
      </c>
      <c r="J2" s="10" t="s">
        <v>22</v>
      </c>
      <c r="K2" s="10" t="s">
        <v>23</v>
      </c>
      <c r="L2" s="10" t="s">
        <v>55</v>
      </c>
      <c r="M2" s="10" t="s">
        <v>22</v>
      </c>
      <c r="N2" s="10" t="s">
        <v>23</v>
      </c>
      <c r="O2" s="10" t="s">
        <v>56</v>
      </c>
      <c r="P2" s="30" t="s">
        <v>60</v>
      </c>
      <c r="Q2" s="30" t="s">
        <v>61</v>
      </c>
      <c r="R2" s="30" t="s">
        <v>62</v>
      </c>
      <c r="S2" s="31" t="s">
        <v>64</v>
      </c>
      <c r="T2" s="31" t="s">
        <v>14</v>
      </c>
      <c r="U2" s="31" t="s">
        <v>15</v>
      </c>
      <c r="V2" s="31" t="s">
        <v>16</v>
      </c>
      <c r="Y2" s="10" t="s">
        <v>58</v>
      </c>
      <c r="Z2" s="35" t="s">
        <v>69</v>
      </c>
      <c r="AA2" s="15" t="s">
        <v>54</v>
      </c>
      <c r="AB2" s="10" t="s">
        <v>54</v>
      </c>
      <c r="AC2" s="10" t="s">
        <v>22</v>
      </c>
      <c r="AD2" s="10" t="s">
        <v>23</v>
      </c>
      <c r="AE2" s="10" t="s">
        <v>55</v>
      </c>
      <c r="AF2" s="10" t="s">
        <v>22</v>
      </c>
      <c r="AG2" s="10" t="s">
        <v>23</v>
      </c>
      <c r="AH2" s="10" t="s">
        <v>56</v>
      </c>
    </row>
    <row r="3" spans="1:34" ht="27" customHeight="1" x14ac:dyDescent="0.25">
      <c r="A3" t="str">
        <f>CONCATENATE(C3,B3)</f>
        <v>印1</v>
      </c>
      <c r="B3">
        <f>COUNTIF($C$2:C3,C3)</f>
        <v>1</v>
      </c>
      <c r="C3" t="str">
        <f>IF(I3="","","印")</f>
        <v>印</v>
      </c>
      <c r="D3" t="str">
        <f t="shared" ref="D3:D60" si="0">CONCATENATE(F3,E3)</f>
        <v>印1</v>
      </c>
      <c r="E3">
        <f>COUNTIF($F$2:F3,F3)</f>
        <v>1</v>
      </c>
      <c r="F3" t="str">
        <f t="shared" ref="F3:F60" si="1">IF(I3="","","印")</f>
        <v>印</v>
      </c>
      <c r="G3" t="str">
        <f>IF(資料登打!$B$5="","",資料登打!$B$5)</f>
        <v/>
      </c>
      <c r="H3" s="10">
        <f>IF(資料登打!$B$11&gt;0,1,)</f>
        <v>1</v>
      </c>
      <c r="I3" s="10">
        <f>IF(資料登打!$B$12="","",資料登打!$B$12)</f>
        <v>6</v>
      </c>
      <c r="J3" s="10">
        <f>IF(資料登打!$B$12="","",資料登打!J3)</f>
        <v>16</v>
      </c>
      <c r="K3" s="10">
        <f>IF(資料登打!$B$12="","",資料登打!K3)</f>
        <v>20</v>
      </c>
      <c r="L3" s="10"/>
      <c r="M3" s="10">
        <f>IF(資料登打!$B$12="","",資料登打!M3)</f>
        <v>17</v>
      </c>
      <c r="N3" s="10">
        <f>IF(資料登打!$B$12="","",資料登打!N3)</f>
        <v>20</v>
      </c>
      <c r="O3" s="10"/>
      <c r="P3" s="28">
        <f>資料登打!$B$11</f>
        <v>4</v>
      </c>
      <c r="Q3" s="28">
        <f>資料登打!$B$10</f>
        <v>0</v>
      </c>
      <c r="R3" s="28" t="str">
        <f>資料登打!B4</f>
        <v>主任</v>
      </c>
      <c r="S3" s="28" t="str">
        <f>CONCATENATE(資料登打!B$12,資料登打!B$13,資料登打!B$14,資料登打!B$15,資料登打!$B$16,資料登打!B$17,資料登打!B$18,資料登打!B$19,資料登打!B$20,資料登打!B$21,資料登打!B$22,資料登打!B$23,資料登打!B$24,資料登打!B$25,資料登打!B$26,資料登打!B$27,資料登打!B$28,資料登打!B$29,資料登打!B$30)</f>
        <v>6,13,20,27</v>
      </c>
      <c r="T3" s="28">
        <f>資料登打!B6</f>
        <v>0</v>
      </c>
      <c r="U3" s="28">
        <f>資料登打!B7</f>
        <v>0</v>
      </c>
      <c r="V3" s="28">
        <f>資料登打!B8</f>
        <v>0</v>
      </c>
      <c r="W3" t="b">
        <f>ISNA(X3)</f>
        <v>0</v>
      </c>
      <c r="X3" t="str">
        <f>IF(資料登打!$I$11&gt;0,"印1",)</f>
        <v>印1</v>
      </c>
      <c r="Y3" s="25" t="str">
        <f>IF($X$3=0,"",VLOOKUP($X3,印1,4,FALSE))</f>
        <v/>
      </c>
      <c r="Z3" s="27" t="str">
        <f t="shared" ref="Z3:Z28" si="2">IF(Y3="","",VLOOKUP($X3,印1,5,FALSE))</f>
        <v/>
      </c>
      <c r="AA3" s="17" t="str">
        <f>IF(Y3="","",CONCATENATE(資料登打!$B$2,"/",AB3))</f>
        <v/>
      </c>
      <c r="AB3" s="18" t="str">
        <f t="shared" ref="AB3:AB28" si="3">IF(Z3="","",VLOOKUP($X3,印1,6,FALSE))</f>
        <v/>
      </c>
      <c r="AC3" s="18" t="str">
        <f t="shared" ref="AC3:AC28" si="4">IF(AB3="","",VLOOKUP($X3,印1,7,FALSE))</f>
        <v/>
      </c>
      <c r="AD3" s="18" t="str">
        <f t="shared" ref="AD3:AD28" si="5">IF(AC3="","",VLOOKUP($X3,印1,8,FALSE))</f>
        <v/>
      </c>
      <c r="AE3" s="18" t="str">
        <f t="shared" ref="AE3:AE28" si="6">IF(AD3="","",VLOOKUP($X3,印1,9,FALSE))</f>
        <v/>
      </c>
      <c r="AF3" s="18" t="str">
        <f t="shared" ref="AF3:AF28" si="7">IF(AE3="","",VLOOKUP($X3,印1,10,FALSE))</f>
        <v/>
      </c>
      <c r="AG3" s="18" t="str">
        <f t="shared" ref="AG3:AG28" si="8">IF(AF3="","",VLOOKUP($X3,印1,11,FALSE))</f>
        <v/>
      </c>
      <c r="AH3" s="18" t="str">
        <f t="shared" ref="AH3:AH28" si="9">IF(AG3="","",VLOOKUP($X3,印1,12,FALSE))</f>
        <v/>
      </c>
    </row>
    <row r="4" spans="1:34" ht="27" customHeight="1" x14ac:dyDescent="0.25">
      <c r="A4" t="str">
        <f t="shared" ref="A4:A67" si="10">CONCATENATE(C4,B4)</f>
        <v>0</v>
      </c>
      <c r="B4">
        <f>COUNTIF($C$2:C4,C4)</f>
        <v>0</v>
      </c>
      <c r="D4" t="str">
        <f t="shared" si="0"/>
        <v>印2</v>
      </c>
      <c r="E4">
        <f>COUNTIF($F$2:F4,F4)</f>
        <v>2</v>
      </c>
      <c r="F4" t="str">
        <f t="shared" si="1"/>
        <v>印</v>
      </c>
      <c r="G4" t="str">
        <f>IF(資料登打!$B$5="","",資料登打!$B$5)</f>
        <v/>
      </c>
      <c r="H4" s="10">
        <f>IF(資料登打!$B$11&gt;1,2,)</f>
        <v>2</v>
      </c>
      <c r="I4" s="10">
        <f>IF(資料登打!$B$14="","",資料登打!$B$14)</f>
        <v>13</v>
      </c>
      <c r="J4" s="10">
        <f>IF(資料登打!$B$14="","",資料登打!J3)</f>
        <v>16</v>
      </c>
      <c r="K4" s="10">
        <f>IF(資料登打!$B$14="","",資料登打!K3)</f>
        <v>20</v>
      </c>
      <c r="L4" s="10"/>
      <c r="M4" s="10">
        <f>IF(資料登打!$B$14="","",資料登打!M3)</f>
        <v>17</v>
      </c>
      <c r="N4" s="10">
        <f>IF(資料登打!$B$14="","",資料登打!N3)</f>
        <v>20</v>
      </c>
      <c r="O4" s="10"/>
      <c r="P4" s="28"/>
      <c r="Q4" s="28"/>
      <c r="R4" s="28"/>
      <c r="S4" s="28"/>
      <c r="T4" s="28"/>
      <c r="U4" s="28"/>
      <c r="V4" s="28"/>
      <c r="W4" t="b">
        <f t="shared" ref="W4:W28" si="11">ISNA(X4)</f>
        <v>0</v>
      </c>
      <c r="X4" t="str">
        <f>IF(資料登打!$I$11&gt;1,"印2",)</f>
        <v>印2</v>
      </c>
      <c r="Y4" s="25" t="str">
        <f>IF($X$4=0,"",VLOOKUP($X4,印1,4,FALSE))</f>
        <v/>
      </c>
      <c r="Z4" s="17" t="str">
        <f t="shared" si="2"/>
        <v/>
      </c>
      <c r="AA4" s="27" t="str">
        <f>IF(Y4="","",CONCATENATE(資料登打!$B$2,"/",AB4))</f>
        <v/>
      </c>
      <c r="AB4" s="18" t="str">
        <f t="shared" si="3"/>
        <v/>
      </c>
      <c r="AC4" s="18" t="str">
        <f t="shared" si="4"/>
        <v/>
      </c>
      <c r="AD4" s="18" t="str">
        <f t="shared" si="5"/>
        <v/>
      </c>
      <c r="AE4" s="18" t="str">
        <f t="shared" si="6"/>
        <v/>
      </c>
      <c r="AF4" s="18" t="str">
        <f t="shared" si="7"/>
        <v/>
      </c>
      <c r="AG4" s="18" t="str">
        <f t="shared" si="8"/>
        <v/>
      </c>
      <c r="AH4" s="18" t="str">
        <f t="shared" si="9"/>
        <v/>
      </c>
    </row>
    <row r="5" spans="1:34" ht="27" customHeight="1" x14ac:dyDescent="0.25">
      <c r="A5" t="str">
        <f t="shared" si="10"/>
        <v>0</v>
      </c>
      <c r="B5">
        <f>COUNTIF($C$2:C5,C5)</f>
        <v>0</v>
      </c>
      <c r="D5" t="str">
        <f t="shared" si="0"/>
        <v>印3</v>
      </c>
      <c r="E5">
        <f>COUNTIF($F$2:F5,F5)</f>
        <v>3</v>
      </c>
      <c r="F5" t="str">
        <f t="shared" si="1"/>
        <v>印</v>
      </c>
      <c r="G5" t="str">
        <f>IF(資料登打!$B$5="","",資料登打!$B$5)</f>
        <v/>
      </c>
      <c r="H5" s="10">
        <f>IF(資料登打!$B$11&gt;2,3,)</f>
        <v>3</v>
      </c>
      <c r="I5" s="10">
        <f>IF(資料登打!$B$16="","",資料登打!$B$16)</f>
        <v>20</v>
      </c>
      <c r="J5" s="10">
        <f>IF(資料登打!$B$16="","",資料登打!J3)</f>
        <v>16</v>
      </c>
      <c r="K5" s="10">
        <f>IF(資料登打!$B$16="","",資料登打!K3)</f>
        <v>20</v>
      </c>
      <c r="L5" s="10"/>
      <c r="M5" s="10">
        <f>IF(資料登打!$B$16="","",資料登打!M3)</f>
        <v>17</v>
      </c>
      <c r="N5" s="10">
        <f>IF(資料登打!$B$16="","",資料登打!N3)</f>
        <v>20</v>
      </c>
      <c r="O5" s="10"/>
      <c r="P5" s="28"/>
      <c r="Q5" s="28"/>
      <c r="R5" s="28"/>
      <c r="S5" s="28"/>
      <c r="T5" s="28"/>
      <c r="U5" s="28"/>
      <c r="V5" s="28"/>
      <c r="W5" t="b">
        <f t="shared" si="11"/>
        <v>0</v>
      </c>
      <c r="X5" t="str">
        <f>IF(資料登打!$I$11&gt;2,"印3",)</f>
        <v>印3</v>
      </c>
      <c r="Y5" s="25" t="str">
        <f>IF($X$5=0,"",VLOOKUP($X5,印1,4,FALSE))</f>
        <v/>
      </c>
      <c r="Z5" s="17" t="str">
        <f t="shared" si="2"/>
        <v/>
      </c>
      <c r="AA5" s="27" t="str">
        <f>IF(Y5="","",CONCATENATE(資料登打!$B$2,"/",AB5))</f>
        <v/>
      </c>
      <c r="AB5" s="18" t="str">
        <f t="shared" si="3"/>
        <v/>
      </c>
      <c r="AC5" s="18" t="str">
        <f t="shared" si="4"/>
        <v/>
      </c>
      <c r="AD5" s="18" t="str">
        <f t="shared" si="5"/>
        <v/>
      </c>
      <c r="AE5" s="18" t="str">
        <f t="shared" si="6"/>
        <v/>
      </c>
      <c r="AF5" s="18" t="str">
        <f t="shared" si="7"/>
        <v/>
      </c>
      <c r="AG5" s="18" t="str">
        <f t="shared" si="8"/>
        <v/>
      </c>
      <c r="AH5" s="18" t="str">
        <f t="shared" si="9"/>
        <v/>
      </c>
    </row>
    <row r="6" spans="1:34" ht="27" customHeight="1" x14ac:dyDescent="0.25">
      <c r="A6" t="str">
        <f t="shared" si="10"/>
        <v>0</v>
      </c>
      <c r="B6">
        <f>COUNTIF($C$2:C6,C6)</f>
        <v>0</v>
      </c>
      <c r="D6" t="str">
        <f t="shared" si="0"/>
        <v>印4</v>
      </c>
      <c r="E6">
        <f>COUNTIF($F$2:F6,F6)</f>
        <v>4</v>
      </c>
      <c r="F6" t="str">
        <f t="shared" si="1"/>
        <v>印</v>
      </c>
      <c r="G6" t="str">
        <f>IF(資料登打!$B$5="","",資料登打!$B$5)</f>
        <v/>
      </c>
      <c r="H6" s="10">
        <f>IF(資料登打!$B$11&gt;3,4,)</f>
        <v>4</v>
      </c>
      <c r="I6" s="10">
        <f>IF(資料登打!$B$18="","",資料登打!$B$18)</f>
        <v>27</v>
      </c>
      <c r="J6" s="10">
        <f>IF(資料登打!$B$18="","",資料登打!J3)</f>
        <v>16</v>
      </c>
      <c r="K6" s="10">
        <f>IF(資料登打!$B$18="","",資料登打!K3)</f>
        <v>20</v>
      </c>
      <c r="L6" s="10"/>
      <c r="M6" s="10">
        <f>IF(資料登打!$B$18="","",資料登打!M3)</f>
        <v>17</v>
      </c>
      <c r="N6" s="10">
        <f>IF(資料登打!$B$18="","",資料登打!N3)</f>
        <v>20</v>
      </c>
      <c r="O6" s="10"/>
      <c r="P6" s="28"/>
      <c r="Q6" s="28"/>
      <c r="R6" s="28"/>
      <c r="S6" s="28"/>
      <c r="T6" s="28"/>
      <c r="U6" s="28"/>
      <c r="V6" s="28"/>
      <c r="W6" t="b">
        <f t="shared" si="11"/>
        <v>0</v>
      </c>
      <c r="X6" t="str">
        <f>IF(資料登打!$I$11&gt;3,"印4",)</f>
        <v>印4</v>
      </c>
      <c r="Y6" s="25" t="str">
        <f>IF($X$6=0,"",VLOOKUP($X6,印1,4,FALSE))</f>
        <v/>
      </c>
      <c r="Z6" s="17" t="str">
        <f t="shared" si="2"/>
        <v/>
      </c>
      <c r="AA6" s="27" t="str">
        <f>IF(Y6="","",CONCATENATE(資料登打!$B$2,"/",AB6))</f>
        <v/>
      </c>
      <c r="AB6" s="18" t="str">
        <f t="shared" si="3"/>
        <v/>
      </c>
      <c r="AC6" s="18" t="str">
        <f t="shared" si="4"/>
        <v/>
      </c>
      <c r="AD6" s="18" t="str">
        <f t="shared" si="5"/>
        <v/>
      </c>
      <c r="AE6" s="18" t="str">
        <f t="shared" si="6"/>
        <v/>
      </c>
      <c r="AF6" s="18" t="str">
        <f t="shared" si="7"/>
        <v/>
      </c>
      <c r="AG6" s="18" t="str">
        <f t="shared" si="8"/>
        <v/>
      </c>
      <c r="AH6" s="18" t="str">
        <f t="shared" si="9"/>
        <v/>
      </c>
    </row>
    <row r="7" spans="1:34" ht="27" customHeight="1" x14ac:dyDescent="0.25">
      <c r="A7" t="str">
        <f t="shared" si="10"/>
        <v>0</v>
      </c>
      <c r="B7">
        <f>COUNTIF($C$2:C7,C7)</f>
        <v>0</v>
      </c>
      <c r="D7" t="str">
        <f t="shared" si="0"/>
        <v>2</v>
      </c>
      <c r="E7">
        <f>COUNTIF($F$2:F7,F7)</f>
        <v>2</v>
      </c>
      <c r="F7" t="str">
        <f t="shared" si="1"/>
        <v/>
      </c>
      <c r="G7" t="str">
        <f>IF(資料登打!$B$5="","",資料登打!$B$5)</f>
        <v/>
      </c>
      <c r="H7" s="10">
        <f>IF(資料登打!$B$11&gt;4,5,)</f>
        <v>0</v>
      </c>
      <c r="I7" s="10" t="str">
        <f>IF(資料登打!$B$20="","",資料登打!$B$20)</f>
        <v/>
      </c>
      <c r="J7" s="10" t="str">
        <f>IF(資料登打!$B$20="","",資料登打!J3)</f>
        <v/>
      </c>
      <c r="K7" s="10" t="str">
        <f>IF(資料登打!$B$20="","",資料登打!K3)</f>
        <v/>
      </c>
      <c r="L7" s="10"/>
      <c r="M7" s="10" t="str">
        <f>IF(資料登打!$B$20="","",資料登打!M3)</f>
        <v/>
      </c>
      <c r="N7" s="10" t="str">
        <f>IF(資料登打!$B$20="","",資料登打!N3)</f>
        <v/>
      </c>
      <c r="O7" s="10"/>
      <c r="P7" s="28"/>
      <c r="Q7" s="28"/>
      <c r="R7" s="28"/>
      <c r="S7" s="28"/>
      <c r="T7" s="28"/>
      <c r="U7" s="28"/>
      <c r="V7" s="28"/>
      <c r="W7" t="b">
        <f t="shared" si="11"/>
        <v>0</v>
      </c>
      <c r="X7">
        <f>IF(資料登打!$I$11&gt;4,"印5",)</f>
        <v>0</v>
      </c>
      <c r="Y7" s="25" t="str">
        <f>IF($X$7=0,"",VLOOKUP($X7,印1,4,FALSE))</f>
        <v/>
      </c>
      <c r="Z7" s="17" t="str">
        <f t="shared" si="2"/>
        <v/>
      </c>
      <c r="AA7" s="27" t="str">
        <f>IF(Y7="","",CONCATENATE(資料登打!$B$2,"/",AB7))</f>
        <v/>
      </c>
      <c r="AB7" s="18" t="str">
        <f t="shared" si="3"/>
        <v/>
      </c>
      <c r="AC7" s="18" t="str">
        <f t="shared" si="4"/>
        <v/>
      </c>
      <c r="AD7" s="18" t="str">
        <f t="shared" si="5"/>
        <v/>
      </c>
      <c r="AE7" s="18" t="str">
        <f t="shared" si="6"/>
        <v/>
      </c>
      <c r="AF7" s="18" t="str">
        <f t="shared" si="7"/>
        <v/>
      </c>
      <c r="AG7" s="18" t="str">
        <f t="shared" si="8"/>
        <v/>
      </c>
      <c r="AH7" s="18" t="str">
        <f t="shared" si="9"/>
        <v/>
      </c>
    </row>
    <row r="8" spans="1:34" ht="27" customHeight="1" x14ac:dyDescent="0.25">
      <c r="A8" t="str">
        <f t="shared" si="10"/>
        <v>0</v>
      </c>
      <c r="B8">
        <f>COUNTIF($C$2:C8,C8)</f>
        <v>0</v>
      </c>
      <c r="D8" t="str">
        <f t="shared" si="0"/>
        <v>3</v>
      </c>
      <c r="E8">
        <f>COUNTIF($F$2:F8,F8)</f>
        <v>3</v>
      </c>
      <c r="F8" t="str">
        <f t="shared" si="1"/>
        <v/>
      </c>
      <c r="G8" t="str">
        <f>IF(資料登打!$B$5="","",資料登打!$B$5)</f>
        <v/>
      </c>
      <c r="H8" s="10">
        <f>IF(資料登打!$B$11&gt;5,6,)</f>
        <v>0</v>
      </c>
      <c r="I8" s="10" t="str">
        <f>IF(資料登打!$B$22="","",資料登打!$B$22)</f>
        <v/>
      </c>
      <c r="J8" s="10" t="str">
        <f>IF(資料登打!$B$22="","",資料登打!J3)</f>
        <v/>
      </c>
      <c r="K8" s="10" t="str">
        <f>IF(資料登打!$B$22="","",資料登打!K3)</f>
        <v/>
      </c>
      <c r="L8" s="10"/>
      <c r="M8" s="10" t="str">
        <f>IF(資料登打!$B$22="","",資料登打!M3)</f>
        <v/>
      </c>
      <c r="N8" s="10" t="str">
        <f>IF(資料登打!$B$22="","",資料登打!N3)</f>
        <v/>
      </c>
      <c r="O8" s="10"/>
      <c r="P8" s="28"/>
      <c r="Q8" s="28"/>
      <c r="R8" s="28"/>
      <c r="S8" s="28"/>
      <c r="T8" s="28"/>
      <c r="U8" s="28"/>
      <c r="V8" s="28"/>
      <c r="W8" t="b">
        <f t="shared" si="11"/>
        <v>0</v>
      </c>
      <c r="X8">
        <f>IF(資料登打!$I$11&gt;5,"印6",)</f>
        <v>0</v>
      </c>
      <c r="Y8" s="25" t="str">
        <f>IF($X$8=0,"",VLOOKUP($X8,印1,4,FALSE))</f>
        <v/>
      </c>
      <c r="Z8" s="17" t="str">
        <f t="shared" si="2"/>
        <v/>
      </c>
      <c r="AA8" s="27" t="str">
        <f>IF(Y8="","",CONCATENATE(資料登打!$B$2,"/",AB8))</f>
        <v/>
      </c>
      <c r="AB8" s="18" t="str">
        <f t="shared" si="3"/>
        <v/>
      </c>
      <c r="AC8" s="18" t="str">
        <f t="shared" si="4"/>
        <v/>
      </c>
      <c r="AD8" s="18" t="str">
        <f t="shared" si="5"/>
        <v/>
      </c>
      <c r="AE8" s="18" t="str">
        <f t="shared" si="6"/>
        <v/>
      </c>
      <c r="AF8" s="18" t="str">
        <f t="shared" si="7"/>
        <v/>
      </c>
      <c r="AG8" s="18" t="str">
        <f t="shared" si="8"/>
        <v/>
      </c>
      <c r="AH8" s="18" t="str">
        <f t="shared" si="9"/>
        <v/>
      </c>
    </row>
    <row r="9" spans="1:34" ht="27" customHeight="1" x14ac:dyDescent="0.25">
      <c r="A9" t="str">
        <f t="shared" si="10"/>
        <v>0</v>
      </c>
      <c r="B9">
        <f>COUNTIF($C$2:C9,C9)</f>
        <v>0</v>
      </c>
      <c r="D9" t="str">
        <f t="shared" si="0"/>
        <v>4</v>
      </c>
      <c r="E9">
        <f>COUNTIF($F$2:F9,F9)</f>
        <v>4</v>
      </c>
      <c r="F9" t="str">
        <f t="shared" si="1"/>
        <v/>
      </c>
      <c r="G9" t="str">
        <f>IF(資料登打!$B$5="","",資料登打!$B$5)</f>
        <v/>
      </c>
      <c r="H9" s="10">
        <f>IF(資料登打!$B$11&gt;6,7,)</f>
        <v>0</v>
      </c>
      <c r="I9" s="10" t="str">
        <f>IF(資料登打!$B$24="","",資料登打!$B$24)</f>
        <v/>
      </c>
      <c r="J9" s="10" t="str">
        <f>IF(資料登打!$B$24="","",資料登打!J3)</f>
        <v/>
      </c>
      <c r="K9" s="10" t="str">
        <f>IF(資料登打!$B$24="","",資料登打!K3)</f>
        <v/>
      </c>
      <c r="L9" s="10"/>
      <c r="M9" s="10" t="str">
        <f>IF(資料登打!$B$24="","",資料登打!M3)</f>
        <v/>
      </c>
      <c r="N9" s="10" t="str">
        <f>IF(資料登打!$B$24="","",資料登打!N3)</f>
        <v/>
      </c>
      <c r="O9" s="10"/>
      <c r="P9" s="28"/>
      <c r="Q9" s="28"/>
      <c r="R9" s="28"/>
      <c r="S9" s="28"/>
      <c r="T9" s="28"/>
      <c r="U9" s="28"/>
      <c r="V9" s="28"/>
      <c r="W9" t="b">
        <f t="shared" si="11"/>
        <v>0</v>
      </c>
      <c r="X9">
        <f>IF(資料登打!$I$11&gt;6,"印7",)</f>
        <v>0</v>
      </c>
      <c r="Y9" s="25" t="str">
        <f>IF($X$9=0,"",VLOOKUP($X9,印1,4,FALSE))</f>
        <v/>
      </c>
      <c r="Z9" s="17" t="str">
        <f t="shared" si="2"/>
        <v/>
      </c>
      <c r="AA9" s="27" t="str">
        <f>IF(Y9="","",CONCATENATE(資料登打!$B$2,"/",AB9))</f>
        <v/>
      </c>
      <c r="AB9" s="18" t="str">
        <f t="shared" si="3"/>
        <v/>
      </c>
      <c r="AC9" s="18" t="str">
        <f t="shared" si="4"/>
        <v/>
      </c>
      <c r="AD9" s="18" t="str">
        <f t="shared" si="5"/>
        <v/>
      </c>
      <c r="AE9" s="18" t="str">
        <f t="shared" si="6"/>
        <v/>
      </c>
      <c r="AF9" s="18" t="str">
        <f t="shared" si="7"/>
        <v/>
      </c>
      <c r="AG9" s="18" t="str">
        <f t="shared" si="8"/>
        <v/>
      </c>
      <c r="AH9" s="18" t="str">
        <f t="shared" si="9"/>
        <v/>
      </c>
    </row>
    <row r="10" spans="1:34" ht="27" customHeight="1" x14ac:dyDescent="0.25">
      <c r="A10" t="str">
        <f t="shared" si="10"/>
        <v>0</v>
      </c>
      <c r="B10">
        <f>COUNTIF($C$2:C10,C10)</f>
        <v>0</v>
      </c>
      <c r="D10" t="str">
        <f t="shared" si="0"/>
        <v>5</v>
      </c>
      <c r="E10">
        <f>COUNTIF($F$2:F10,F10)</f>
        <v>5</v>
      </c>
      <c r="F10" t="str">
        <f t="shared" si="1"/>
        <v/>
      </c>
      <c r="G10" t="str">
        <f>IF(資料登打!$B$5="","",資料登打!$B$5)</f>
        <v/>
      </c>
      <c r="H10" s="10">
        <f>IF(資料登打!$B$11&gt;7,8,)</f>
        <v>0</v>
      </c>
      <c r="I10" s="10" t="str">
        <f>IF(資料登打!$B$26="","",資料登打!$B$26)</f>
        <v/>
      </c>
      <c r="J10" s="10" t="str">
        <f>IF(資料登打!$B$26="","",資料登打!J3)</f>
        <v/>
      </c>
      <c r="K10" s="10" t="str">
        <f>IF(資料登打!$B$26="","",資料登打!K3)</f>
        <v/>
      </c>
      <c r="L10" s="10"/>
      <c r="M10" s="10" t="str">
        <f>IF(資料登打!$B$26="","",資料登打!M3)</f>
        <v/>
      </c>
      <c r="N10" s="10" t="str">
        <f>IF(資料登打!$B$26="","",資料登打!N3)</f>
        <v/>
      </c>
      <c r="O10" s="10"/>
      <c r="P10" s="28"/>
      <c r="Q10" s="28"/>
      <c r="R10" s="28"/>
      <c r="S10" s="28"/>
      <c r="T10" s="28"/>
      <c r="U10" s="28"/>
      <c r="V10" s="28"/>
      <c r="W10" t="b">
        <f t="shared" si="11"/>
        <v>0</v>
      </c>
      <c r="X10">
        <f>IF(資料登打!$I$11&gt;7,"印8",)</f>
        <v>0</v>
      </c>
      <c r="Y10" s="25" t="str">
        <f>IF($X$10=0,"",VLOOKUP($X10,印1,4,FALSE))</f>
        <v/>
      </c>
      <c r="Z10" s="17" t="str">
        <f t="shared" si="2"/>
        <v/>
      </c>
      <c r="AA10" s="27" t="str">
        <f>IF(Y10="","",CONCATENATE(資料登打!$B$2,"/",AB10))</f>
        <v/>
      </c>
      <c r="AB10" s="18" t="str">
        <f t="shared" si="3"/>
        <v/>
      </c>
      <c r="AC10" s="18" t="str">
        <f t="shared" si="4"/>
        <v/>
      </c>
      <c r="AD10" s="18" t="str">
        <f t="shared" si="5"/>
        <v/>
      </c>
      <c r="AE10" s="18" t="str">
        <f t="shared" si="6"/>
        <v/>
      </c>
      <c r="AF10" s="18" t="str">
        <f t="shared" si="7"/>
        <v/>
      </c>
      <c r="AG10" s="18" t="str">
        <f t="shared" si="8"/>
        <v/>
      </c>
      <c r="AH10" s="18" t="str">
        <f t="shared" si="9"/>
        <v/>
      </c>
    </row>
    <row r="11" spans="1:34" ht="27" customHeight="1" x14ac:dyDescent="0.25">
      <c r="A11" t="str">
        <f t="shared" si="10"/>
        <v>0</v>
      </c>
      <c r="B11">
        <f>COUNTIF($C$2:C11,C11)</f>
        <v>0</v>
      </c>
      <c r="D11" t="str">
        <f t="shared" si="0"/>
        <v>6</v>
      </c>
      <c r="E11">
        <f>COUNTIF($F$2:F11,F11)</f>
        <v>6</v>
      </c>
      <c r="F11" t="str">
        <f t="shared" si="1"/>
        <v/>
      </c>
      <c r="G11" t="str">
        <f>IF(資料登打!$B$5="","",資料登打!$B$5)</f>
        <v/>
      </c>
      <c r="H11" s="10">
        <f>IF(資料登打!$B$11&gt;8,9,)</f>
        <v>0</v>
      </c>
      <c r="I11" s="10" t="str">
        <f>IF(資料登打!$B$28="","",資料登打!$B$28)</f>
        <v/>
      </c>
      <c r="J11" s="10" t="str">
        <f>IF(資料登打!$B$28="","",資料登打!J3)</f>
        <v/>
      </c>
      <c r="K11" s="10" t="str">
        <f>IF(資料登打!$B$28="","",資料登打!K3)</f>
        <v/>
      </c>
      <c r="L11" s="10"/>
      <c r="M11" s="10" t="str">
        <f>IF(資料登打!$B$28="","",資料登打!M3)</f>
        <v/>
      </c>
      <c r="N11" s="10" t="str">
        <f>IF(資料登打!$B$28="","",資料登打!N3)</f>
        <v/>
      </c>
      <c r="O11" s="10"/>
      <c r="P11" s="28"/>
      <c r="Q11" s="28"/>
      <c r="R11" s="28"/>
      <c r="S11" s="28"/>
      <c r="T11" s="28"/>
      <c r="U11" s="28"/>
      <c r="V11" s="28"/>
      <c r="W11" t="b">
        <f t="shared" si="11"/>
        <v>0</v>
      </c>
      <c r="X11">
        <f>IF(資料登打!$I$11&gt;8,"印9",)</f>
        <v>0</v>
      </c>
      <c r="Y11" s="25" t="str">
        <f>IF($X$11=0,"",VLOOKUP($X11,印1,4,FALSE))</f>
        <v/>
      </c>
      <c r="Z11" s="17" t="str">
        <f t="shared" si="2"/>
        <v/>
      </c>
      <c r="AA11" s="27" t="str">
        <f>IF(Y11="","",CONCATENATE(資料登打!$B$2,"/",AB11))</f>
        <v/>
      </c>
      <c r="AB11" s="18" t="str">
        <f t="shared" si="3"/>
        <v/>
      </c>
      <c r="AC11" s="18" t="str">
        <f t="shared" si="4"/>
        <v/>
      </c>
      <c r="AD11" s="18" t="str">
        <f t="shared" si="5"/>
        <v/>
      </c>
      <c r="AE11" s="18" t="str">
        <f t="shared" si="6"/>
        <v/>
      </c>
      <c r="AF11" s="18" t="str">
        <f t="shared" si="7"/>
        <v/>
      </c>
      <c r="AG11" s="18" t="str">
        <f t="shared" si="8"/>
        <v/>
      </c>
      <c r="AH11" s="18" t="str">
        <f t="shared" si="9"/>
        <v/>
      </c>
    </row>
    <row r="12" spans="1:34" ht="27" customHeight="1" x14ac:dyDescent="0.25">
      <c r="A12" t="str">
        <f t="shared" si="10"/>
        <v>0</v>
      </c>
      <c r="B12">
        <f>COUNTIF($C$2:C12,C12)</f>
        <v>0</v>
      </c>
      <c r="D12" t="str">
        <f t="shared" si="0"/>
        <v>7</v>
      </c>
      <c r="E12">
        <f>COUNTIF($F$2:F12,F12)</f>
        <v>7</v>
      </c>
      <c r="F12" t="str">
        <f t="shared" si="1"/>
        <v/>
      </c>
      <c r="G12" t="str">
        <f>IF(資料登打!$B$5="","",資料登打!$B$5)</f>
        <v/>
      </c>
      <c r="H12" s="10">
        <f>IF(資料登打!$B$11&gt;9,10,)</f>
        <v>0</v>
      </c>
      <c r="I12" s="10" t="str">
        <f>IF(資料登打!$B$30="","",資料登打!$B$30)</f>
        <v/>
      </c>
      <c r="J12" s="10" t="str">
        <f>IF(資料登打!$B$30="","",資料登打!J3)</f>
        <v/>
      </c>
      <c r="K12" s="10" t="str">
        <f>IF(資料登打!$B$30="","",資料登打!K3)</f>
        <v/>
      </c>
      <c r="L12" s="10"/>
      <c r="M12" s="10" t="str">
        <f>IF(資料登打!$B$30="","",資料登打!M3)</f>
        <v/>
      </c>
      <c r="N12" s="10" t="str">
        <f>IF(資料登打!$B$30="","",資料登打!N3)</f>
        <v/>
      </c>
      <c r="O12" s="10"/>
      <c r="P12" s="28"/>
      <c r="Q12" s="28"/>
      <c r="R12" s="28"/>
      <c r="S12" s="28"/>
      <c r="T12" s="28"/>
      <c r="U12" s="28"/>
      <c r="V12" s="28"/>
      <c r="W12" t="b">
        <f t="shared" si="11"/>
        <v>0</v>
      </c>
      <c r="X12">
        <f>IF(資料登打!$I$11&gt;9,"印10",)</f>
        <v>0</v>
      </c>
      <c r="Y12" s="25" t="str">
        <f>IF($X$12=0,"",VLOOKUP($X12,印1,4,FALSE))</f>
        <v/>
      </c>
      <c r="Z12" s="17" t="str">
        <f t="shared" si="2"/>
        <v/>
      </c>
      <c r="AA12" s="27" t="str">
        <f>IF(Y12="","",CONCATENATE(資料登打!$B$2,"/",AB12))</f>
        <v/>
      </c>
      <c r="AB12" s="18" t="str">
        <f t="shared" si="3"/>
        <v/>
      </c>
      <c r="AC12" s="18" t="str">
        <f t="shared" si="4"/>
        <v/>
      </c>
      <c r="AD12" s="18" t="str">
        <f t="shared" si="5"/>
        <v/>
      </c>
      <c r="AE12" s="18" t="str">
        <f t="shared" si="6"/>
        <v/>
      </c>
      <c r="AF12" s="18" t="str">
        <f t="shared" si="7"/>
        <v/>
      </c>
      <c r="AG12" s="18" t="str">
        <f t="shared" si="8"/>
        <v/>
      </c>
      <c r="AH12" s="18" t="str">
        <f t="shared" si="9"/>
        <v/>
      </c>
    </row>
    <row r="13" spans="1:34" ht="27" customHeight="1" x14ac:dyDescent="0.25">
      <c r="A13" t="str">
        <f t="shared" si="10"/>
        <v>11</v>
      </c>
      <c r="B13">
        <f>COUNTIF($C$2:C13,C13)</f>
        <v>11</v>
      </c>
      <c r="C13" t="str">
        <f t="shared" ref="C13:C63" si="12">IF(I13="","","印")</f>
        <v/>
      </c>
      <c r="D13" t="str">
        <f t="shared" si="0"/>
        <v>8</v>
      </c>
      <c r="E13">
        <f>COUNTIF($F$2:F13,F13)</f>
        <v>8</v>
      </c>
      <c r="F13" t="str">
        <f t="shared" si="1"/>
        <v/>
      </c>
      <c r="G13" t="str">
        <f>IF(資料登打!$C$5="","",資料登打!$C$5)</f>
        <v/>
      </c>
      <c r="H13" s="10">
        <f>IF(資料登打!$C$11&gt;0,1,)</f>
        <v>0</v>
      </c>
      <c r="I13" s="10" t="str">
        <f>IF(資料登打!$C$12="","",資料登打!$C$12)</f>
        <v/>
      </c>
      <c r="J13" s="10" t="str">
        <f>IF(資料登打!$C$12="","",資料登打!J3)</f>
        <v/>
      </c>
      <c r="K13" s="10" t="str">
        <f>IF(資料登打!$C$12="","",資料登打!K3)</f>
        <v/>
      </c>
      <c r="L13" s="10"/>
      <c r="M13" s="10" t="str">
        <f>IF(資料登打!$C$12="","",資料登打!M3)</f>
        <v/>
      </c>
      <c r="N13" s="10" t="str">
        <f>IF(資料登打!$C$12="","",資料登打!N3)</f>
        <v/>
      </c>
      <c r="O13" s="10"/>
      <c r="P13" s="28">
        <f>資料登打!$C$11</f>
        <v>0</v>
      </c>
      <c r="Q13" s="28">
        <f>資料登打!$C$10</f>
        <v>0</v>
      </c>
      <c r="R13" s="28">
        <f>資料登打!$C$4</f>
        <v>0</v>
      </c>
      <c r="S13" s="28" t="str">
        <f>CONCATENATE(資料登打!C$12,資料登打!C$13,資料登打!C$14,資料登打!C$15,資料登打!$C$16,資料登打!C$17,資料登打!C$18,資料登打!C$19,資料登打!C$20,資料登打!C$21,資料登打!C$22,資料登打!C$23,資料登打!C$24,資料登打!C$25,資料登打!C$26,資料登打!C$27,資料登打!C$28,資料登打!C$29,資料登打!C$30)</f>
        <v/>
      </c>
      <c r="T13" s="28">
        <f>資料登打!$C6</f>
        <v>0</v>
      </c>
      <c r="U13" s="28">
        <f>資料登打!$C7</f>
        <v>0</v>
      </c>
      <c r="V13" s="28">
        <f>資料登打!$C8</f>
        <v>0</v>
      </c>
      <c r="W13" t="b">
        <f t="shared" si="11"/>
        <v>0</v>
      </c>
      <c r="X13">
        <f>IF(資料登打!$I$11&gt;10,"印11",)</f>
        <v>0</v>
      </c>
      <c r="Y13" s="25" t="str">
        <f>IF($X$13=0,"",VLOOKUP($X13,印1,4,FALSE))</f>
        <v/>
      </c>
      <c r="Z13" s="17" t="str">
        <f t="shared" si="2"/>
        <v/>
      </c>
      <c r="AA13" s="27" t="str">
        <f>IF(Y13="","",CONCATENATE(資料登打!$B$2,"/",AB13))</f>
        <v/>
      </c>
      <c r="AB13" s="18" t="str">
        <f t="shared" si="3"/>
        <v/>
      </c>
      <c r="AC13" s="18" t="str">
        <f t="shared" si="4"/>
        <v/>
      </c>
      <c r="AD13" s="18" t="str">
        <f t="shared" si="5"/>
        <v/>
      </c>
      <c r="AE13" s="18" t="str">
        <f t="shared" si="6"/>
        <v/>
      </c>
      <c r="AF13" s="18" t="str">
        <f t="shared" si="7"/>
        <v/>
      </c>
      <c r="AG13" s="18" t="str">
        <f t="shared" si="8"/>
        <v/>
      </c>
      <c r="AH13" s="18" t="str">
        <f t="shared" si="9"/>
        <v/>
      </c>
    </row>
    <row r="14" spans="1:34" ht="27" customHeight="1" x14ac:dyDescent="0.25">
      <c r="A14" t="str">
        <f t="shared" si="10"/>
        <v>0</v>
      </c>
      <c r="B14">
        <f>COUNTIF($C$2:C14,C14)</f>
        <v>0</v>
      </c>
      <c r="D14" t="str">
        <f t="shared" si="0"/>
        <v>9</v>
      </c>
      <c r="E14">
        <f>COUNTIF($F$2:F14,F14)</f>
        <v>9</v>
      </c>
      <c r="F14" t="str">
        <f t="shared" si="1"/>
        <v/>
      </c>
      <c r="G14" t="str">
        <f>IF(資料登打!$C$5="","",資料登打!$C$5)</f>
        <v/>
      </c>
      <c r="H14" s="10">
        <f>IF(資料登打!$C$11&gt;1,2,)</f>
        <v>0</v>
      </c>
      <c r="I14" s="10" t="str">
        <f>IF(資料登打!$C$14="","",資料登打!$C$14)</f>
        <v/>
      </c>
      <c r="J14" s="10" t="str">
        <f>IF(資料登打!$C$14="","",資料登打!J3)</f>
        <v/>
      </c>
      <c r="K14" s="10" t="str">
        <f>IF(資料登打!$C$14="","",資料登打!K3)</f>
        <v/>
      </c>
      <c r="L14" s="10"/>
      <c r="M14" s="10" t="str">
        <f>IF(資料登打!$C$14="","",資料登打!M3)</f>
        <v/>
      </c>
      <c r="N14" s="10" t="str">
        <f>IF(資料登打!$C$14="","",資料登打!N3)</f>
        <v/>
      </c>
      <c r="O14" s="10"/>
      <c r="P14" s="28"/>
      <c r="Q14" s="28"/>
      <c r="R14" s="28"/>
      <c r="S14" s="28"/>
      <c r="T14" s="28"/>
      <c r="U14" s="28"/>
      <c r="V14" s="28"/>
      <c r="W14" t="b">
        <f t="shared" si="11"/>
        <v>0</v>
      </c>
      <c r="X14">
        <f>IF(資料登打!$I$11&gt;11,"印12",)</f>
        <v>0</v>
      </c>
      <c r="Y14" s="25" t="str">
        <f>IF($X$14=0,"",VLOOKUP($X14,印1,4,FALSE))</f>
        <v/>
      </c>
      <c r="Z14" s="17" t="str">
        <f t="shared" si="2"/>
        <v/>
      </c>
      <c r="AA14" s="27" t="str">
        <f>IF(Y14="","",CONCATENATE(資料登打!$B$2,"/",AB14))</f>
        <v/>
      </c>
      <c r="AB14" s="18" t="str">
        <f t="shared" si="3"/>
        <v/>
      </c>
      <c r="AC14" s="18" t="str">
        <f t="shared" si="4"/>
        <v/>
      </c>
      <c r="AD14" s="18" t="str">
        <f t="shared" si="5"/>
        <v/>
      </c>
      <c r="AE14" s="18" t="str">
        <f t="shared" si="6"/>
        <v/>
      </c>
      <c r="AF14" s="18" t="str">
        <f t="shared" si="7"/>
        <v/>
      </c>
      <c r="AG14" s="18" t="str">
        <f t="shared" si="8"/>
        <v/>
      </c>
      <c r="AH14" s="18" t="str">
        <f t="shared" si="9"/>
        <v/>
      </c>
    </row>
    <row r="15" spans="1:34" ht="27" customHeight="1" x14ac:dyDescent="0.25">
      <c r="A15" t="str">
        <f t="shared" si="10"/>
        <v>0</v>
      </c>
      <c r="B15">
        <f>COUNTIF($C$2:C15,C15)</f>
        <v>0</v>
      </c>
      <c r="D15" t="str">
        <f t="shared" si="0"/>
        <v>10</v>
      </c>
      <c r="E15">
        <f>COUNTIF($F$2:F15,F15)</f>
        <v>10</v>
      </c>
      <c r="F15" t="str">
        <f t="shared" si="1"/>
        <v/>
      </c>
      <c r="G15" t="str">
        <f>IF(資料登打!$C$5="","",資料登打!$C$5)</f>
        <v/>
      </c>
      <c r="H15" s="10">
        <f>IF(資料登打!$C$11&gt;2,3,)</f>
        <v>0</v>
      </c>
      <c r="I15" s="10" t="str">
        <f>IF(資料登打!$C$16="","",資料登打!$C$16)</f>
        <v/>
      </c>
      <c r="J15" s="10" t="str">
        <f>IF(資料登打!$C$16="","",資料登打!J3)</f>
        <v/>
      </c>
      <c r="K15" s="10" t="str">
        <f>IF(資料登打!$C$16="","",資料登打!K3)</f>
        <v/>
      </c>
      <c r="L15" s="10"/>
      <c r="M15" s="10" t="str">
        <f>IF(資料登打!$C$16="","",資料登打!M3)</f>
        <v/>
      </c>
      <c r="N15" s="10" t="str">
        <f>IF(資料登打!$C$16="","",資料登打!N3)</f>
        <v/>
      </c>
      <c r="O15" s="10"/>
      <c r="P15" s="28"/>
      <c r="Q15" s="28"/>
      <c r="R15" s="28"/>
      <c r="S15" s="28"/>
      <c r="T15" s="28"/>
      <c r="U15" s="28"/>
      <c r="V15" s="28"/>
      <c r="W15" t="b">
        <f t="shared" si="11"/>
        <v>0</v>
      </c>
      <c r="X15">
        <f>IF(資料登打!$I$11&gt;12,"印13",)</f>
        <v>0</v>
      </c>
      <c r="Y15" s="25" t="str">
        <f>IF($X$15=0,"",VLOOKUP($X15,印1,4,FALSE))</f>
        <v/>
      </c>
      <c r="Z15" s="17" t="str">
        <f t="shared" si="2"/>
        <v/>
      </c>
      <c r="AA15" s="27" t="str">
        <f>IF(Y15="","",CONCATENATE(資料登打!$B$2,"/",AB15))</f>
        <v/>
      </c>
      <c r="AB15" s="18" t="str">
        <f t="shared" si="3"/>
        <v/>
      </c>
      <c r="AC15" s="18" t="str">
        <f t="shared" si="4"/>
        <v/>
      </c>
      <c r="AD15" s="18" t="str">
        <f t="shared" si="5"/>
        <v/>
      </c>
      <c r="AE15" s="18" t="str">
        <f t="shared" si="6"/>
        <v/>
      </c>
      <c r="AF15" s="18" t="str">
        <f t="shared" si="7"/>
        <v/>
      </c>
      <c r="AG15" s="18" t="str">
        <f t="shared" si="8"/>
        <v/>
      </c>
      <c r="AH15" s="18" t="str">
        <f t="shared" si="9"/>
        <v/>
      </c>
    </row>
    <row r="16" spans="1:34" ht="27" customHeight="1" x14ac:dyDescent="0.25">
      <c r="A16" t="str">
        <f t="shared" si="10"/>
        <v>0</v>
      </c>
      <c r="B16">
        <f>COUNTIF($C$2:C16,C16)</f>
        <v>0</v>
      </c>
      <c r="D16" t="str">
        <f t="shared" si="0"/>
        <v>11</v>
      </c>
      <c r="E16">
        <f>COUNTIF($F$2:F16,F16)</f>
        <v>11</v>
      </c>
      <c r="F16" t="str">
        <f t="shared" si="1"/>
        <v/>
      </c>
      <c r="G16" t="str">
        <f>IF(資料登打!$C$5="","",資料登打!$C$5)</f>
        <v/>
      </c>
      <c r="H16" s="10">
        <f>IF(資料登打!$C$11&gt;3,4,)</f>
        <v>0</v>
      </c>
      <c r="I16" s="10" t="str">
        <f>IF(資料登打!$C$18="","",資料登打!$C$18)</f>
        <v/>
      </c>
      <c r="J16" s="10" t="str">
        <f>IF(資料登打!$C$18="","",資料登打!J3)</f>
        <v/>
      </c>
      <c r="K16" s="10" t="str">
        <f>IF(資料登打!$C$18="","",資料登打!K3)</f>
        <v/>
      </c>
      <c r="L16" s="10"/>
      <c r="M16" s="10" t="str">
        <f>IF(資料登打!$C$18="","",資料登打!M3)</f>
        <v/>
      </c>
      <c r="N16" s="10" t="str">
        <f>IF(資料登打!$C$18="","",資料登打!N3)</f>
        <v/>
      </c>
      <c r="O16" s="10"/>
      <c r="P16" s="28"/>
      <c r="Q16" s="28"/>
      <c r="R16" s="28"/>
      <c r="S16" s="28"/>
      <c r="T16" s="28"/>
      <c r="U16" s="28"/>
      <c r="V16" s="28"/>
      <c r="W16" t="b">
        <f t="shared" si="11"/>
        <v>0</v>
      </c>
      <c r="X16">
        <f>IF(資料登打!$I$11&gt;13,"印14",)</f>
        <v>0</v>
      </c>
      <c r="Y16" s="25" t="str">
        <f>IF($X$16=0,"",VLOOKUP($X16,印1,4,FALSE))</f>
        <v/>
      </c>
      <c r="Z16" s="17" t="str">
        <f t="shared" si="2"/>
        <v/>
      </c>
      <c r="AA16" s="27" t="str">
        <f>IF(Y16="","",CONCATENATE(資料登打!$B$2,"/",AB16))</f>
        <v/>
      </c>
      <c r="AB16" s="18" t="str">
        <f t="shared" si="3"/>
        <v/>
      </c>
      <c r="AC16" s="18" t="str">
        <f t="shared" si="4"/>
        <v/>
      </c>
      <c r="AD16" s="18" t="str">
        <f t="shared" si="5"/>
        <v/>
      </c>
      <c r="AE16" s="18" t="str">
        <f t="shared" si="6"/>
        <v/>
      </c>
      <c r="AF16" s="18" t="str">
        <f t="shared" si="7"/>
        <v/>
      </c>
      <c r="AG16" s="18" t="str">
        <f t="shared" si="8"/>
        <v/>
      </c>
      <c r="AH16" s="18" t="str">
        <f t="shared" si="9"/>
        <v/>
      </c>
    </row>
    <row r="17" spans="1:34" ht="27" customHeight="1" x14ac:dyDescent="0.25">
      <c r="A17" t="str">
        <f t="shared" si="10"/>
        <v>0</v>
      </c>
      <c r="B17">
        <f>COUNTIF($C$2:C17,C17)</f>
        <v>0</v>
      </c>
      <c r="D17" t="str">
        <f t="shared" si="0"/>
        <v>12</v>
      </c>
      <c r="E17">
        <f>COUNTIF($F$2:F17,F17)</f>
        <v>12</v>
      </c>
      <c r="F17" t="str">
        <f t="shared" si="1"/>
        <v/>
      </c>
      <c r="G17" t="str">
        <f>IF(資料登打!$C$5="","",資料登打!$C$5)</f>
        <v/>
      </c>
      <c r="H17" s="10">
        <f>IF(資料登打!$C$11&gt;4,5,)</f>
        <v>0</v>
      </c>
      <c r="I17" s="10" t="str">
        <f>IF(資料登打!$C$20="","",資料登打!$C$20)</f>
        <v/>
      </c>
      <c r="J17" s="10" t="str">
        <f>IF(資料登打!$C$20="","",資料登打!J3)</f>
        <v/>
      </c>
      <c r="K17" s="10" t="str">
        <f>IF(資料登打!$C$20="","",資料登打!K3)</f>
        <v/>
      </c>
      <c r="L17" s="10"/>
      <c r="M17" s="10" t="str">
        <f>IF(資料登打!$C$20="","",資料登打!M3)</f>
        <v/>
      </c>
      <c r="N17" s="10" t="str">
        <f>IF(資料登打!$C$20="","",資料登打!N3)</f>
        <v/>
      </c>
      <c r="O17" s="10"/>
      <c r="P17" s="28"/>
      <c r="Q17" s="28"/>
      <c r="R17" s="28"/>
      <c r="S17" s="28"/>
      <c r="T17" s="28"/>
      <c r="U17" s="28"/>
      <c r="V17" s="28"/>
      <c r="W17" t="b">
        <f t="shared" si="11"/>
        <v>0</v>
      </c>
      <c r="X17">
        <f>IF(資料登打!$I$11&gt;14,"印15",)</f>
        <v>0</v>
      </c>
      <c r="Y17" s="25" t="str">
        <f>IF($X$17=0,"",VLOOKUP($X17,印1,4,FALSE))</f>
        <v/>
      </c>
      <c r="Z17" s="17" t="str">
        <f t="shared" si="2"/>
        <v/>
      </c>
      <c r="AA17" s="27" t="str">
        <f>IF(Y17="","",CONCATENATE(資料登打!$B$2,"/",AB17))</f>
        <v/>
      </c>
      <c r="AB17" s="18" t="str">
        <f t="shared" si="3"/>
        <v/>
      </c>
      <c r="AC17" s="18" t="str">
        <f t="shared" si="4"/>
        <v/>
      </c>
      <c r="AD17" s="18" t="str">
        <f t="shared" si="5"/>
        <v/>
      </c>
      <c r="AE17" s="18" t="str">
        <f t="shared" si="6"/>
        <v/>
      </c>
      <c r="AF17" s="18" t="str">
        <f t="shared" si="7"/>
        <v/>
      </c>
      <c r="AG17" s="18" t="str">
        <f t="shared" si="8"/>
        <v/>
      </c>
      <c r="AH17" s="18" t="str">
        <f t="shared" si="9"/>
        <v/>
      </c>
    </row>
    <row r="18" spans="1:34" ht="27" customHeight="1" x14ac:dyDescent="0.25">
      <c r="A18" t="str">
        <f t="shared" si="10"/>
        <v>0</v>
      </c>
      <c r="B18">
        <f>COUNTIF($C$2:C18,C18)</f>
        <v>0</v>
      </c>
      <c r="D18" t="str">
        <f t="shared" si="0"/>
        <v>13</v>
      </c>
      <c r="E18">
        <f>COUNTIF($F$2:F18,F18)</f>
        <v>13</v>
      </c>
      <c r="F18" t="str">
        <f t="shared" si="1"/>
        <v/>
      </c>
      <c r="G18" t="str">
        <f>IF(資料登打!$C$5="","",資料登打!$C$5)</f>
        <v/>
      </c>
      <c r="H18" s="10">
        <f>IF(資料登打!$C$11&gt;5,6,)</f>
        <v>0</v>
      </c>
      <c r="I18" s="10" t="str">
        <f>IF(資料登打!$C$22="","",資料登打!$C$22)</f>
        <v/>
      </c>
      <c r="J18" s="10" t="str">
        <f>IF(資料登打!$C$22="","",資料登打!J3)</f>
        <v/>
      </c>
      <c r="K18" s="10" t="str">
        <f>IF(資料登打!$C$22="","",資料登打!K3)</f>
        <v/>
      </c>
      <c r="L18" s="10"/>
      <c r="M18" s="10" t="str">
        <f>IF(資料登打!$C$22="","",資料登打!M3)</f>
        <v/>
      </c>
      <c r="N18" s="10" t="str">
        <f>IF(資料登打!$C$22="","",資料登打!N3)</f>
        <v/>
      </c>
      <c r="O18" s="10"/>
      <c r="P18" s="28"/>
      <c r="Q18" s="28"/>
      <c r="R18" s="28"/>
      <c r="S18" s="28"/>
      <c r="T18" s="28"/>
      <c r="U18" s="28"/>
      <c r="V18" s="28"/>
      <c r="W18" t="b">
        <f t="shared" si="11"/>
        <v>0</v>
      </c>
      <c r="X18">
        <f>IF(資料登打!$I$11&gt;15,"印16",)</f>
        <v>0</v>
      </c>
      <c r="Y18" s="25" t="str">
        <f>IF($X$18=0,"",VLOOKUP($X18,印1,4,FALSE))</f>
        <v/>
      </c>
      <c r="Z18" s="17" t="str">
        <f t="shared" si="2"/>
        <v/>
      </c>
      <c r="AA18" s="27" t="str">
        <f>IF(Y18="","",CONCATENATE(資料登打!$B$2,"/",AB18))</f>
        <v/>
      </c>
      <c r="AB18" s="18" t="str">
        <f t="shared" si="3"/>
        <v/>
      </c>
      <c r="AC18" s="18" t="str">
        <f t="shared" si="4"/>
        <v/>
      </c>
      <c r="AD18" s="18" t="str">
        <f t="shared" si="5"/>
        <v/>
      </c>
      <c r="AE18" s="18" t="str">
        <f t="shared" si="6"/>
        <v/>
      </c>
      <c r="AF18" s="18" t="str">
        <f t="shared" si="7"/>
        <v/>
      </c>
      <c r="AG18" s="18" t="str">
        <f t="shared" si="8"/>
        <v/>
      </c>
      <c r="AH18" s="18" t="str">
        <f t="shared" si="9"/>
        <v/>
      </c>
    </row>
    <row r="19" spans="1:34" ht="27" customHeight="1" x14ac:dyDescent="0.25">
      <c r="A19" t="str">
        <f t="shared" si="10"/>
        <v>0</v>
      </c>
      <c r="B19">
        <f>COUNTIF($C$2:C19,C19)</f>
        <v>0</v>
      </c>
      <c r="D19" t="str">
        <f t="shared" si="0"/>
        <v>14</v>
      </c>
      <c r="E19">
        <f>COUNTIF($F$2:F19,F19)</f>
        <v>14</v>
      </c>
      <c r="F19" t="str">
        <f t="shared" si="1"/>
        <v/>
      </c>
      <c r="G19" t="str">
        <f>IF(資料登打!$C$5="","",資料登打!$C$5)</f>
        <v/>
      </c>
      <c r="H19" s="10">
        <f>IF(資料登打!$C$11&gt;6,7,)</f>
        <v>0</v>
      </c>
      <c r="I19" s="10" t="str">
        <f>IF(資料登打!$C$24="","",資料登打!$C$24)</f>
        <v/>
      </c>
      <c r="J19" s="10" t="str">
        <f>IF(資料登打!$C$24="","",資料登打!J3)</f>
        <v/>
      </c>
      <c r="K19" s="10" t="str">
        <f>IF(資料登打!$C$24="","",資料登打!K3)</f>
        <v/>
      </c>
      <c r="L19" s="10"/>
      <c r="M19" s="10" t="str">
        <f>IF(資料登打!$C$24="","",資料登打!M3)</f>
        <v/>
      </c>
      <c r="N19" s="10" t="str">
        <f>IF(資料登打!$C$24="","",資料登打!N3)</f>
        <v/>
      </c>
      <c r="O19" s="10"/>
      <c r="P19" s="28"/>
      <c r="Q19" s="28"/>
      <c r="R19" s="28"/>
      <c r="S19" s="28"/>
      <c r="T19" s="28"/>
      <c r="U19" s="28"/>
      <c r="V19" s="28"/>
      <c r="W19" t="b">
        <f t="shared" si="11"/>
        <v>0</v>
      </c>
      <c r="X19">
        <f>IF(資料登打!$I$11&gt;16,"印17",)</f>
        <v>0</v>
      </c>
      <c r="Y19" s="25" t="str">
        <f>IF($X$19=0,"",VLOOKUP($X19,印1,4,FALSE))</f>
        <v/>
      </c>
      <c r="Z19" s="17" t="str">
        <f t="shared" si="2"/>
        <v/>
      </c>
      <c r="AA19" s="27" t="str">
        <f>IF(Y19="","",CONCATENATE(資料登打!$B$2,"/",AB19))</f>
        <v/>
      </c>
      <c r="AB19" s="18" t="str">
        <f t="shared" si="3"/>
        <v/>
      </c>
      <c r="AC19" s="18" t="str">
        <f t="shared" si="4"/>
        <v/>
      </c>
      <c r="AD19" s="18" t="str">
        <f t="shared" si="5"/>
        <v/>
      </c>
      <c r="AE19" s="18" t="str">
        <f t="shared" si="6"/>
        <v/>
      </c>
      <c r="AF19" s="18" t="str">
        <f t="shared" si="7"/>
        <v/>
      </c>
      <c r="AG19" s="18" t="str">
        <f t="shared" si="8"/>
        <v/>
      </c>
      <c r="AH19" s="18" t="str">
        <f t="shared" si="9"/>
        <v/>
      </c>
    </row>
    <row r="20" spans="1:34" ht="27" customHeight="1" x14ac:dyDescent="0.25">
      <c r="A20" t="str">
        <f t="shared" si="10"/>
        <v>0</v>
      </c>
      <c r="B20">
        <f>COUNTIF($C$2:C20,C20)</f>
        <v>0</v>
      </c>
      <c r="D20" t="str">
        <f t="shared" si="0"/>
        <v>15</v>
      </c>
      <c r="E20">
        <f>COUNTIF($F$2:F20,F20)</f>
        <v>15</v>
      </c>
      <c r="F20" t="str">
        <f t="shared" si="1"/>
        <v/>
      </c>
      <c r="G20" t="str">
        <f>IF(資料登打!$C$5="","",資料登打!$C$5)</f>
        <v/>
      </c>
      <c r="H20" s="10">
        <f>IF(資料登打!$C$11&gt;7,8,)</f>
        <v>0</v>
      </c>
      <c r="I20" s="10" t="str">
        <f>IF(資料登打!$C$26="","",資料登打!$C$26)</f>
        <v/>
      </c>
      <c r="J20" s="10" t="str">
        <f>IF(資料登打!$C$26="","",資料登打!J3)</f>
        <v/>
      </c>
      <c r="K20" s="10" t="str">
        <f>IF(資料登打!$C$26="","",資料登打!K3)</f>
        <v/>
      </c>
      <c r="L20" s="10"/>
      <c r="M20" s="10" t="str">
        <f>IF(資料登打!$C$26="","",資料登打!M3)</f>
        <v/>
      </c>
      <c r="N20" s="10" t="str">
        <f>IF(資料登打!$C$26="","",資料登打!N3)</f>
        <v/>
      </c>
      <c r="O20" s="10"/>
      <c r="P20" s="28"/>
      <c r="Q20" s="28"/>
      <c r="R20" s="28"/>
      <c r="S20" s="28"/>
      <c r="T20" s="28"/>
      <c r="U20" s="28"/>
      <c r="V20" s="28"/>
      <c r="W20" t="b">
        <f t="shared" si="11"/>
        <v>0</v>
      </c>
      <c r="X20">
        <f>IF(資料登打!$I$11&gt;17,"印18",)</f>
        <v>0</v>
      </c>
      <c r="Y20" s="25" t="str">
        <f>IF($X$20=0,"",VLOOKUP($X20,印1,4,FALSE))</f>
        <v/>
      </c>
      <c r="Z20" s="17" t="str">
        <f t="shared" si="2"/>
        <v/>
      </c>
      <c r="AA20" s="27" t="str">
        <f>IF(Y20="","",CONCATENATE(資料登打!$B$2,"/",AB20))</f>
        <v/>
      </c>
      <c r="AB20" s="18" t="str">
        <f t="shared" si="3"/>
        <v/>
      </c>
      <c r="AC20" s="18" t="str">
        <f t="shared" si="4"/>
        <v/>
      </c>
      <c r="AD20" s="18" t="str">
        <f t="shared" si="5"/>
        <v/>
      </c>
      <c r="AE20" s="18" t="str">
        <f t="shared" si="6"/>
        <v/>
      </c>
      <c r="AF20" s="18" t="str">
        <f t="shared" si="7"/>
        <v/>
      </c>
      <c r="AG20" s="18" t="str">
        <f t="shared" si="8"/>
        <v/>
      </c>
      <c r="AH20" s="18" t="str">
        <f t="shared" si="9"/>
        <v/>
      </c>
    </row>
    <row r="21" spans="1:34" ht="27" customHeight="1" x14ac:dyDescent="0.25">
      <c r="A21" t="str">
        <f t="shared" si="10"/>
        <v>0</v>
      </c>
      <c r="B21">
        <f>COUNTIF($C$2:C21,C21)</f>
        <v>0</v>
      </c>
      <c r="D21" t="str">
        <f t="shared" si="0"/>
        <v>16</v>
      </c>
      <c r="E21">
        <f>COUNTIF($F$2:F21,F21)</f>
        <v>16</v>
      </c>
      <c r="F21" t="str">
        <f t="shared" si="1"/>
        <v/>
      </c>
      <c r="G21" t="str">
        <f>IF(資料登打!$C$5="","",資料登打!$C$5)</f>
        <v/>
      </c>
      <c r="H21" s="10">
        <f>IF(資料登打!$C$11&gt;8,9,)</f>
        <v>0</v>
      </c>
      <c r="I21" s="10" t="str">
        <f>IF(資料登打!$C$28="","",資料登打!$C$28)</f>
        <v/>
      </c>
      <c r="J21" s="10" t="str">
        <f>IF(資料登打!$C$28="","",資料登打!J3)</f>
        <v/>
      </c>
      <c r="K21" s="10" t="str">
        <f>IF(資料登打!$C$28="","",資料登打!K3)</f>
        <v/>
      </c>
      <c r="L21" s="10"/>
      <c r="M21" s="10" t="str">
        <f>IF(資料登打!$C$28="","",資料登打!M3)</f>
        <v/>
      </c>
      <c r="N21" s="10" t="str">
        <f>IF(資料登打!$C$28="","",資料登打!N3)</f>
        <v/>
      </c>
      <c r="O21" s="10"/>
      <c r="P21" s="28"/>
      <c r="Q21" s="28"/>
      <c r="R21" s="28"/>
      <c r="S21" s="28"/>
      <c r="T21" s="28"/>
      <c r="U21" s="28"/>
      <c r="V21" s="28"/>
      <c r="W21" t="b">
        <f t="shared" si="11"/>
        <v>0</v>
      </c>
      <c r="X21">
        <f>IF(資料登打!$I$11&gt;18,"印19",)</f>
        <v>0</v>
      </c>
      <c r="Y21" s="25" t="str">
        <f>IF($X$21=0,"",VLOOKUP($X21,印1,4,FALSE))</f>
        <v/>
      </c>
      <c r="Z21" s="17" t="str">
        <f t="shared" si="2"/>
        <v/>
      </c>
      <c r="AA21" s="27" t="str">
        <f>IF(Y21="","",CONCATENATE(資料登打!$B$2,"/",AB21))</f>
        <v/>
      </c>
      <c r="AB21" s="18" t="str">
        <f t="shared" si="3"/>
        <v/>
      </c>
      <c r="AC21" s="18" t="str">
        <f t="shared" si="4"/>
        <v/>
      </c>
      <c r="AD21" s="18" t="str">
        <f t="shared" si="5"/>
        <v/>
      </c>
      <c r="AE21" s="18" t="str">
        <f t="shared" si="6"/>
        <v/>
      </c>
      <c r="AF21" s="18" t="str">
        <f t="shared" si="7"/>
        <v/>
      </c>
      <c r="AG21" s="18" t="str">
        <f t="shared" si="8"/>
        <v/>
      </c>
      <c r="AH21" s="18" t="str">
        <f t="shared" si="9"/>
        <v/>
      </c>
    </row>
    <row r="22" spans="1:34" ht="27" customHeight="1" x14ac:dyDescent="0.25">
      <c r="A22" t="str">
        <f t="shared" si="10"/>
        <v>0</v>
      </c>
      <c r="B22">
        <f>COUNTIF($C$2:C22,C22)</f>
        <v>0</v>
      </c>
      <c r="D22" t="str">
        <f t="shared" si="0"/>
        <v>17</v>
      </c>
      <c r="E22">
        <f>COUNTIF($F$2:F22,F22)</f>
        <v>17</v>
      </c>
      <c r="F22" t="str">
        <f t="shared" si="1"/>
        <v/>
      </c>
      <c r="G22" t="str">
        <f>IF(資料登打!$C$5="","",資料登打!$C$5)</f>
        <v/>
      </c>
      <c r="H22" s="10">
        <f>IF(資料登打!$C$11&gt;9,10,)</f>
        <v>0</v>
      </c>
      <c r="I22" s="10" t="str">
        <f>IF(資料登打!$C$30="","",資料登打!$C$30)</f>
        <v/>
      </c>
      <c r="J22" s="10" t="str">
        <f>IF(資料登打!$C$30="","",資料登打!J3)</f>
        <v/>
      </c>
      <c r="K22" s="10" t="str">
        <f>IF(資料登打!$C$30="","",資料登打!K3)</f>
        <v/>
      </c>
      <c r="L22" s="10"/>
      <c r="M22" s="10" t="str">
        <f>IF(資料登打!$C$30="","",資料登打!M3)</f>
        <v/>
      </c>
      <c r="N22" s="10" t="str">
        <f>IF(資料登打!$C$30="","",資料登打!N3)</f>
        <v/>
      </c>
      <c r="O22" s="10"/>
      <c r="P22" s="28"/>
      <c r="Q22" s="28"/>
      <c r="R22" s="28"/>
      <c r="S22" s="28"/>
      <c r="T22" s="28"/>
      <c r="U22" s="28"/>
      <c r="V22" s="28"/>
      <c r="W22" t="b">
        <f t="shared" si="11"/>
        <v>0</v>
      </c>
      <c r="X22">
        <f>IF(資料登打!$I$11&gt;19,"印20",)</f>
        <v>0</v>
      </c>
      <c r="Y22" s="25" t="str">
        <f>IF($X$22=0,"",VLOOKUP($X22,印1,4,FALSE))</f>
        <v/>
      </c>
      <c r="Z22" s="17" t="str">
        <f t="shared" si="2"/>
        <v/>
      </c>
      <c r="AA22" s="27" t="str">
        <f>IF(Y22="","",CONCATENATE(資料登打!$B$2,"/",AB22))</f>
        <v/>
      </c>
      <c r="AB22" s="18" t="str">
        <f t="shared" si="3"/>
        <v/>
      </c>
      <c r="AC22" s="18" t="str">
        <f t="shared" si="4"/>
        <v/>
      </c>
      <c r="AD22" s="18" t="str">
        <f t="shared" si="5"/>
        <v/>
      </c>
      <c r="AE22" s="18" t="str">
        <f t="shared" si="6"/>
        <v/>
      </c>
      <c r="AF22" s="18" t="str">
        <f t="shared" si="7"/>
        <v/>
      </c>
      <c r="AG22" s="18" t="str">
        <f t="shared" si="8"/>
        <v/>
      </c>
      <c r="AH22" s="18" t="str">
        <f t="shared" si="9"/>
        <v/>
      </c>
    </row>
    <row r="23" spans="1:34" ht="27" customHeight="1" x14ac:dyDescent="0.25">
      <c r="A23" t="str">
        <f t="shared" si="10"/>
        <v>21</v>
      </c>
      <c r="B23">
        <f>COUNTIF($C$2:C23,C23)</f>
        <v>21</v>
      </c>
      <c r="C23" t="str">
        <f t="shared" si="12"/>
        <v/>
      </c>
      <c r="D23" t="str">
        <f t="shared" si="0"/>
        <v>18</v>
      </c>
      <c r="E23">
        <f>COUNTIF($F$2:F23,F23)</f>
        <v>18</v>
      </c>
      <c r="F23" t="str">
        <f t="shared" si="1"/>
        <v/>
      </c>
      <c r="G23" t="str">
        <f>IF(資料登打!$D$5="","",資料登打!$D$5)</f>
        <v/>
      </c>
      <c r="H23" s="10">
        <f>IF(資料登打!$D$11&gt;0,1,)</f>
        <v>0</v>
      </c>
      <c r="I23" s="10" t="str">
        <f>IF(資料登打!$D$12="","",資料登打!$D$12)</f>
        <v/>
      </c>
      <c r="J23" s="10" t="str">
        <f>IF(資料登打!$D$12="","",資料登打!J3)</f>
        <v/>
      </c>
      <c r="K23" s="10" t="str">
        <f>IF(資料登打!$D$12="","",資料登打!K3)</f>
        <v/>
      </c>
      <c r="L23" s="10"/>
      <c r="M23" s="10" t="str">
        <f>IF(資料登打!$D$12="","",資料登打!M3)</f>
        <v/>
      </c>
      <c r="N23" s="10" t="str">
        <f>IF(資料登打!$D$12="","",資料登打!N3)</f>
        <v/>
      </c>
      <c r="O23" s="10"/>
      <c r="P23" s="28">
        <f>資料登打!$D$11</f>
        <v>0</v>
      </c>
      <c r="Q23" s="28">
        <f>資料登打!$D$10</f>
        <v>0</v>
      </c>
      <c r="R23" s="28">
        <f>資料登打!$D$4</f>
        <v>0</v>
      </c>
      <c r="S23" s="28" t="str">
        <f>CONCATENATE(資料登打!D$12,資料登打!D$13,資料登打!D$14,資料登打!D$15,資料登打!$D$16,資料登打!D$17,資料登打!D$18,資料登打!D$19,資料登打!D$20,資料登打!D$21,資料登打!D$22,資料登打!D$23,資料登打!D$24,資料登打!D$25,資料登打!D$26,資料登打!D$27,資料登打!D$28,資料登打!D$29,資料登打!D$30)</f>
        <v/>
      </c>
      <c r="T23" s="28">
        <f>資料登打!$D6</f>
        <v>0</v>
      </c>
      <c r="U23" s="28">
        <f>資料登打!$D7</f>
        <v>0</v>
      </c>
      <c r="V23" s="28">
        <f>資料登打!$D8</f>
        <v>0</v>
      </c>
      <c r="W23" t="b">
        <f t="shared" si="11"/>
        <v>0</v>
      </c>
      <c r="X23">
        <f>IF(資料登打!$I$11&gt;20,"印21",)</f>
        <v>0</v>
      </c>
      <c r="Y23" s="25" t="str">
        <f>IF($X$23=0,"",VLOOKUP($X23,印1,4,FALSE))</f>
        <v/>
      </c>
      <c r="Z23" s="17" t="str">
        <f t="shared" si="2"/>
        <v/>
      </c>
      <c r="AA23" s="27" t="str">
        <f>IF(Y23="","",CONCATENATE(資料登打!$B$2,"/",AB23))</f>
        <v/>
      </c>
      <c r="AB23" s="18" t="str">
        <f t="shared" si="3"/>
        <v/>
      </c>
      <c r="AC23" s="18" t="str">
        <f t="shared" si="4"/>
        <v/>
      </c>
      <c r="AD23" s="18" t="str">
        <f t="shared" si="5"/>
        <v/>
      </c>
      <c r="AE23" s="18" t="str">
        <f t="shared" si="6"/>
        <v/>
      </c>
      <c r="AF23" s="18" t="str">
        <f t="shared" si="7"/>
        <v/>
      </c>
      <c r="AG23" s="18" t="str">
        <f t="shared" si="8"/>
        <v/>
      </c>
      <c r="AH23" s="18" t="str">
        <f t="shared" si="9"/>
        <v/>
      </c>
    </row>
    <row r="24" spans="1:34" ht="27" customHeight="1" x14ac:dyDescent="0.25">
      <c r="A24" t="str">
        <f t="shared" si="10"/>
        <v>0</v>
      </c>
      <c r="B24">
        <f>COUNTIF($C$2:C24,C24)</f>
        <v>0</v>
      </c>
      <c r="D24" t="str">
        <f t="shared" si="0"/>
        <v>19</v>
      </c>
      <c r="E24">
        <f>COUNTIF($F$2:F24,F24)</f>
        <v>19</v>
      </c>
      <c r="F24" t="str">
        <f t="shared" si="1"/>
        <v/>
      </c>
      <c r="G24" t="str">
        <f>IF(資料登打!$D$5="","",資料登打!$D$5)</f>
        <v/>
      </c>
      <c r="H24" s="10">
        <f>IF(資料登打!$D$11&gt;1,2,)</f>
        <v>0</v>
      </c>
      <c r="I24" s="10" t="str">
        <f>IF(資料登打!$D$14="","",資料登打!$D$14)</f>
        <v/>
      </c>
      <c r="J24" s="10" t="str">
        <f>IF(資料登打!$D$14="","",資料登打!J3)</f>
        <v/>
      </c>
      <c r="K24" s="10" t="str">
        <f>IF(資料登打!$D$14="","",資料登打!K3)</f>
        <v/>
      </c>
      <c r="L24" s="10"/>
      <c r="M24" s="10" t="str">
        <f>IF(資料登打!$D$14="","",資料登打!M3)</f>
        <v/>
      </c>
      <c r="N24" s="10" t="str">
        <f>IF(資料登打!$D$14="","",資料登打!N3)</f>
        <v/>
      </c>
      <c r="O24" s="10"/>
      <c r="P24" s="28"/>
      <c r="Q24" s="28"/>
      <c r="R24" s="28"/>
      <c r="S24" s="28"/>
      <c r="T24" s="28"/>
      <c r="U24" s="28"/>
      <c r="V24" s="28"/>
      <c r="W24" t="b">
        <f t="shared" si="11"/>
        <v>0</v>
      </c>
      <c r="X24">
        <f>IF(資料登打!$I$11&gt;21,"印22",)</f>
        <v>0</v>
      </c>
      <c r="Y24" s="25" t="str">
        <f>IF($X$24=0,"",VLOOKUP($X24,印1,4,FALSE))</f>
        <v/>
      </c>
      <c r="Z24" s="17" t="str">
        <f t="shared" si="2"/>
        <v/>
      </c>
      <c r="AA24" s="27" t="str">
        <f>IF(Y24="","",CONCATENATE(資料登打!$B$2,"/",AB24))</f>
        <v/>
      </c>
      <c r="AB24" s="18" t="str">
        <f t="shared" si="3"/>
        <v/>
      </c>
      <c r="AC24" s="18" t="str">
        <f t="shared" si="4"/>
        <v/>
      </c>
      <c r="AD24" s="18" t="str">
        <f t="shared" si="5"/>
        <v/>
      </c>
      <c r="AE24" s="18" t="str">
        <f t="shared" si="6"/>
        <v/>
      </c>
      <c r="AF24" s="18" t="str">
        <f t="shared" si="7"/>
        <v/>
      </c>
      <c r="AG24" s="18" t="str">
        <f t="shared" si="8"/>
        <v/>
      </c>
      <c r="AH24" s="18" t="str">
        <f t="shared" si="9"/>
        <v/>
      </c>
    </row>
    <row r="25" spans="1:34" ht="27" customHeight="1" x14ac:dyDescent="0.25">
      <c r="A25" t="str">
        <f t="shared" si="10"/>
        <v>0</v>
      </c>
      <c r="B25">
        <f>COUNTIF($C$2:C25,C25)</f>
        <v>0</v>
      </c>
      <c r="D25" t="str">
        <f t="shared" si="0"/>
        <v>20</v>
      </c>
      <c r="E25">
        <f>COUNTIF($F$2:F25,F25)</f>
        <v>20</v>
      </c>
      <c r="F25" t="str">
        <f t="shared" si="1"/>
        <v/>
      </c>
      <c r="G25" t="str">
        <f>IF(資料登打!$D$5="","",資料登打!$D$5)</f>
        <v/>
      </c>
      <c r="H25" s="10">
        <f>IF(資料登打!$D$11&gt;2,3,)</f>
        <v>0</v>
      </c>
      <c r="I25" s="10" t="str">
        <f>IF(資料登打!$D$16="","",資料登打!$D$16)</f>
        <v/>
      </c>
      <c r="J25" s="10" t="str">
        <f>IF(資料登打!$D$16="","",資料登打!J3)</f>
        <v/>
      </c>
      <c r="K25" s="10" t="str">
        <f>IF(資料登打!$D$16="","",資料登打!K3)</f>
        <v/>
      </c>
      <c r="L25" s="10"/>
      <c r="M25" s="10" t="str">
        <f>IF(資料登打!$D$16="","",資料登打!M3)</f>
        <v/>
      </c>
      <c r="N25" s="10" t="str">
        <f>IF(資料登打!$D$16="","",資料登打!N3)</f>
        <v/>
      </c>
      <c r="O25" s="10"/>
      <c r="P25" s="28"/>
      <c r="Q25" s="28"/>
      <c r="R25" s="28"/>
      <c r="S25" s="28"/>
      <c r="T25" s="28"/>
      <c r="U25" s="28"/>
      <c r="V25" s="28"/>
      <c r="W25" t="b">
        <f t="shared" si="11"/>
        <v>0</v>
      </c>
      <c r="X25">
        <f>IF(資料登打!$I$11&gt;22,"印23",)</f>
        <v>0</v>
      </c>
      <c r="Y25" s="25" t="str">
        <f>IF($X$25=0,"",VLOOKUP($X25,印1,4,FALSE))</f>
        <v/>
      </c>
      <c r="Z25" s="17" t="str">
        <f t="shared" si="2"/>
        <v/>
      </c>
      <c r="AA25" s="27" t="str">
        <f>IF(Y25="","",CONCATENATE(資料登打!$B$2,"/",AB25))</f>
        <v/>
      </c>
      <c r="AB25" s="18" t="str">
        <f t="shared" si="3"/>
        <v/>
      </c>
      <c r="AC25" s="18" t="str">
        <f t="shared" si="4"/>
        <v/>
      </c>
      <c r="AD25" s="18" t="str">
        <f t="shared" si="5"/>
        <v/>
      </c>
      <c r="AE25" s="18" t="str">
        <f t="shared" si="6"/>
        <v/>
      </c>
      <c r="AF25" s="18" t="str">
        <f t="shared" si="7"/>
        <v/>
      </c>
      <c r="AG25" s="18" t="str">
        <f t="shared" si="8"/>
        <v/>
      </c>
      <c r="AH25" s="18" t="str">
        <f t="shared" si="9"/>
        <v/>
      </c>
    </row>
    <row r="26" spans="1:34" ht="27" customHeight="1" x14ac:dyDescent="0.25">
      <c r="A26" t="str">
        <f t="shared" si="10"/>
        <v>0</v>
      </c>
      <c r="B26">
        <f>COUNTIF($C$2:C26,C26)</f>
        <v>0</v>
      </c>
      <c r="D26" t="str">
        <f t="shared" si="0"/>
        <v>21</v>
      </c>
      <c r="E26">
        <f>COUNTIF($F$2:F26,F26)</f>
        <v>21</v>
      </c>
      <c r="F26" t="str">
        <f t="shared" si="1"/>
        <v/>
      </c>
      <c r="G26" t="str">
        <f>IF(資料登打!$D$5="","",資料登打!$D$5)</f>
        <v/>
      </c>
      <c r="H26" s="10">
        <f>IF(資料登打!$D$11&gt;3,4,)</f>
        <v>0</v>
      </c>
      <c r="I26" s="10" t="str">
        <f>IF(資料登打!$D$18="","",資料登打!$D$18)</f>
        <v/>
      </c>
      <c r="J26" s="10" t="str">
        <f>IF(資料登打!$D$18="","",資料登打!J3)</f>
        <v/>
      </c>
      <c r="K26" s="10" t="str">
        <f>IF(資料登打!$D$18="","",資料登打!K3)</f>
        <v/>
      </c>
      <c r="L26" s="10"/>
      <c r="M26" s="10" t="str">
        <f>IF(資料登打!$D$18="","",資料登打!M3)</f>
        <v/>
      </c>
      <c r="N26" s="10" t="str">
        <f>IF(資料登打!$D$18="","",資料登打!N3)</f>
        <v/>
      </c>
      <c r="O26" s="10"/>
      <c r="P26" s="28"/>
      <c r="Q26" s="28"/>
      <c r="R26" s="28"/>
      <c r="S26" s="28"/>
      <c r="T26" s="28"/>
      <c r="U26" s="28"/>
      <c r="V26" s="28"/>
      <c r="W26" t="b">
        <f t="shared" si="11"/>
        <v>0</v>
      </c>
      <c r="X26">
        <f>IF(資料登打!$I$11&gt;23,"印24",)</f>
        <v>0</v>
      </c>
      <c r="Y26" s="25" t="str">
        <f>IF($X$26=0,"",VLOOKUP($X26,印1,4,FALSE))</f>
        <v/>
      </c>
      <c r="Z26" s="17" t="str">
        <f t="shared" si="2"/>
        <v/>
      </c>
      <c r="AA26" s="27" t="str">
        <f>IF(Y26="","",CONCATENATE(資料登打!$B$2,"/",AB26))</f>
        <v/>
      </c>
      <c r="AB26" s="18" t="str">
        <f t="shared" si="3"/>
        <v/>
      </c>
      <c r="AC26" s="18" t="str">
        <f t="shared" si="4"/>
        <v/>
      </c>
      <c r="AD26" s="18" t="str">
        <f t="shared" si="5"/>
        <v/>
      </c>
      <c r="AE26" s="18" t="str">
        <f t="shared" si="6"/>
        <v/>
      </c>
      <c r="AF26" s="18" t="str">
        <f t="shared" si="7"/>
        <v/>
      </c>
      <c r="AG26" s="18" t="str">
        <f t="shared" si="8"/>
        <v/>
      </c>
      <c r="AH26" s="18" t="str">
        <f t="shared" si="9"/>
        <v/>
      </c>
    </row>
    <row r="27" spans="1:34" ht="27" customHeight="1" x14ac:dyDescent="0.25">
      <c r="A27" t="str">
        <f t="shared" si="10"/>
        <v>0</v>
      </c>
      <c r="B27">
        <f>COUNTIF($C$2:C27,C27)</f>
        <v>0</v>
      </c>
      <c r="D27" t="str">
        <f t="shared" si="0"/>
        <v>22</v>
      </c>
      <c r="E27">
        <f>COUNTIF($F$2:F27,F27)</f>
        <v>22</v>
      </c>
      <c r="F27" t="str">
        <f t="shared" si="1"/>
        <v/>
      </c>
      <c r="G27" t="str">
        <f>IF(資料登打!$D$5="","",資料登打!$D$5)</f>
        <v/>
      </c>
      <c r="H27" s="10">
        <f>IF(資料登打!$D$11&gt;4,5,)</f>
        <v>0</v>
      </c>
      <c r="I27" s="10" t="str">
        <f>IF(資料登打!$D$20="","",資料登打!$D$20)</f>
        <v/>
      </c>
      <c r="J27" s="10" t="str">
        <f>IF(資料登打!$D$20="","",資料登打!J3)</f>
        <v/>
      </c>
      <c r="K27" s="10" t="str">
        <f>IF(資料登打!$D$20="","",資料登打!K3)</f>
        <v/>
      </c>
      <c r="L27" s="10"/>
      <c r="M27" s="10" t="str">
        <f>IF(資料登打!$D$20="","",資料登打!M3)</f>
        <v/>
      </c>
      <c r="N27" s="10" t="str">
        <f>IF(資料登打!$D$20="","",資料登打!N3)</f>
        <v/>
      </c>
      <c r="O27" s="10"/>
      <c r="P27" s="28"/>
      <c r="Q27" s="28"/>
      <c r="R27" s="28"/>
      <c r="S27" s="28"/>
      <c r="T27" s="28"/>
      <c r="U27" s="28"/>
      <c r="V27" s="28"/>
      <c r="W27" t="b">
        <f t="shared" si="11"/>
        <v>0</v>
      </c>
      <c r="X27">
        <f>IF(資料登打!$I$11&gt;24,"印25",)</f>
        <v>0</v>
      </c>
      <c r="Y27" s="25" t="str">
        <f>IF($X$27=0,"",VLOOKUP($X27,印1,4,FALSE))</f>
        <v/>
      </c>
      <c r="Z27" s="17" t="str">
        <f t="shared" si="2"/>
        <v/>
      </c>
      <c r="AA27" s="27" t="str">
        <f>IF(Y27="","",CONCATENATE(資料登打!$B$2,"/",AB27))</f>
        <v/>
      </c>
      <c r="AB27" s="18" t="str">
        <f t="shared" si="3"/>
        <v/>
      </c>
      <c r="AC27" s="18" t="str">
        <f t="shared" si="4"/>
        <v/>
      </c>
      <c r="AD27" s="18" t="str">
        <f t="shared" si="5"/>
        <v/>
      </c>
      <c r="AE27" s="18" t="str">
        <f t="shared" si="6"/>
        <v/>
      </c>
      <c r="AF27" s="18" t="str">
        <f t="shared" si="7"/>
        <v/>
      </c>
      <c r="AG27" s="18" t="str">
        <f t="shared" si="8"/>
        <v/>
      </c>
      <c r="AH27" s="18" t="str">
        <f t="shared" si="9"/>
        <v/>
      </c>
    </row>
    <row r="28" spans="1:34" ht="27" customHeight="1" x14ac:dyDescent="0.25">
      <c r="A28" t="str">
        <f t="shared" si="10"/>
        <v>0</v>
      </c>
      <c r="B28">
        <f>COUNTIF($C$2:C28,C28)</f>
        <v>0</v>
      </c>
      <c r="D28" t="str">
        <f t="shared" si="0"/>
        <v>23</v>
      </c>
      <c r="E28">
        <f>COUNTIF($F$2:F28,F28)</f>
        <v>23</v>
      </c>
      <c r="F28" t="str">
        <f t="shared" si="1"/>
        <v/>
      </c>
      <c r="G28" t="str">
        <f>IF(資料登打!$D$5="","",資料登打!$D$5)</f>
        <v/>
      </c>
      <c r="H28" s="10">
        <f>IF(資料登打!$D$11&gt;5,6,)</f>
        <v>0</v>
      </c>
      <c r="I28" s="10" t="str">
        <f>IF(資料登打!$D$22="","",資料登打!$D$22)</f>
        <v/>
      </c>
      <c r="J28" s="10" t="str">
        <f>IF(資料登打!$D$22="","",資料登打!J3)</f>
        <v/>
      </c>
      <c r="K28" s="10" t="str">
        <f>IF(資料登打!$D$22="","",資料登打!K3)</f>
        <v/>
      </c>
      <c r="L28" s="10"/>
      <c r="M28" s="10" t="str">
        <f>IF(資料登打!$D$22="","",資料登打!M3)</f>
        <v/>
      </c>
      <c r="N28" s="10" t="str">
        <f>IF(資料登打!$D$22="","",資料登打!N3)</f>
        <v/>
      </c>
      <c r="O28" s="10"/>
      <c r="P28" s="28"/>
      <c r="Q28" s="28"/>
      <c r="R28" s="28"/>
      <c r="S28" s="28"/>
      <c r="T28" s="28"/>
      <c r="U28" s="28"/>
      <c r="V28" s="28"/>
      <c r="W28" t="b">
        <f t="shared" si="11"/>
        <v>0</v>
      </c>
      <c r="X28">
        <f>IF(資料登打!$I$11&gt;25,"印26",)</f>
        <v>0</v>
      </c>
      <c r="Y28" s="25" t="str">
        <f>IF($X$28=0,"",VLOOKUP($X28,印1,4,FALSE))</f>
        <v/>
      </c>
      <c r="Z28" s="17" t="str">
        <f t="shared" si="2"/>
        <v/>
      </c>
      <c r="AA28" s="27" t="str">
        <f>IF(Y28="","",CONCATENATE(資料登打!$B$2,"/",AB28))</f>
        <v/>
      </c>
      <c r="AB28" s="18" t="str">
        <f t="shared" si="3"/>
        <v/>
      </c>
      <c r="AC28" s="18" t="str">
        <f t="shared" si="4"/>
        <v/>
      </c>
      <c r="AD28" s="18" t="str">
        <f t="shared" si="5"/>
        <v/>
      </c>
      <c r="AE28" s="18" t="str">
        <f t="shared" si="6"/>
        <v/>
      </c>
      <c r="AF28" s="18" t="str">
        <f t="shared" si="7"/>
        <v/>
      </c>
      <c r="AG28" s="18" t="str">
        <f t="shared" si="8"/>
        <v/>
      </c>
      <c r="AH28" s="18" t="str">
        <f t="shared" si="9"/>
        <v/>
      </c>
    </row>
    <row r="29" spans="1:34" x14ac:dyDescent="0.25">
      <c r="A29" t="str">
        <f t="shared" si="10"/>
        <v>0</v>
      </c>
      <c r="B29">
        <f>COUNTIF($C$2:C29,C29)</f>
        <v>0</v>
      </c>
      <c r="D29" t="str">
        <f t="shared" si="0"/>
        <v>24</v>
      </c>
      <c r="E29">
        <f>COUNTIF($F$2:F29,F29)</f>
        <v>24</v>
      </c>
      <c r="F29" t="str">
        <f t="shared" si="1"/>
        <v/>
      </c>
      <c r="G29" t="str">
        <f>IF(資料登打!$D$5="","",資料登打!$D$5)</f>
        <v/>
      </c>
      <c r="H29" s="10">
        <f>IF(資料登打!$D$11&gt;6,7,)</f>
        <v>0</v>
      </c>
      <c r="I29" s="10" t="str">
        <f>IF(資料登打!$D$24="","",資料登打!$D$24)</f>
        <v/>
      </c>
      <c r="J29" s="10" t="str">
        <f>IF(資料登打!$D$24="","",資料登打!J3)</f>
        <v/>
      </c>
      <c r="K29" s="10" t="str">
        <f>IF(資料登打!$D$24="","",資料登打!K3)</f>
        <v/>
      </c>
      <c r="L29" s="10"/>
      <c r="M29" s="10" t="str">
        <f>IF(資料登打!$D$24="","",資料登打!M3)</f>
        <v/>
      </c>
      <c r="N29" s="10" t="str">
        <f>IF(資料登打!$D$24="","",資料登打!N3)</f>
        <v/>
      </c>
      <c r="O29" s="10"/>
      <c r="P29" s="28"/>
      <c r="Q29" s="28"/>
      <c r="R29" s="28"/>
      <c r="S29" s="28"/>
      <c r="T29" s="28"/>
      <c r="U29" s="28"/>
      <c r="V29" s="28"/>
    </row>
    <row r="30" spans="1:34" x14ac:dyDescent="0.25">
      <c r="A30" t="str">
        <f t="shared" si="10"/>
        <v>0</v>
      </c>
      <c r="B30">
        <f>COUNTIF($C$2:C30,C30)</f>
        <v>0</v>
      </c>
      <c r="D30" t="str">
        <f t="shared" si="0"/>
        <v>25</v>
      </c>
      <c r="E30">
        <f>COUNTIF($F$2:F30,F30)</f>
        <v>25</v>
      </c>
      <c r="F30" t="str">
        <f t="shared" si="1"/>
        <v/>
      </c>
      <c r="G30" t="str">
        <f>IF(資料登打!$D$5="","",資料登打!$D$5)</f>
        <v/>
      </c>
      <c r="H30" s="10">
        <f>IF(資料登打!$D$11&gt;7,8,)</f>
        <v>0</v>
      </c>
      <c r="I30" s="10" t="str">
        <f>IF(資料登打!$D$26="","",資料登打!$D$26)</f>
        <v/>
      </c>
      <c r="J30" s="10" t="str">
        <f>IF(資料登打!$D$26="","",資料登打!J3)</f>
        <v/>
      </c>
      <c r="K30" s="10" t="str">
        <f>IF(資料登打!$D$26="","",資料登打!K3)</f>
        <v/>
      </c>
      <c r="L30" s="10"/>
      <c r="M30" s="10" t="str">
        <f>IF(資料登打!$D$26="","",資料登打!M3)</f>
        <v/>
      </c>
      <c r="N30" s="10" t="str">
        <f>IF(資料登打!$D$26="","",資料登打!N3)</f>
        <v/>
      </c>
      <c r="O30" s="10"/>
      <c r="P30" s="28"/>
      <c r="Q30" s="28"/>
      <c r="R30" s="28"/>
      <c r="S30" s="28"/>
      <c r="T30" s="28"/>
      <c r="U30" s="28"/>
      <c r="V30" s="28"/>
      <c r="X30" t="str">
        <f>IF(I3="","","印111")</f>
        <v>印111</v>
      </c>
    </row>
    <row r="31" spans="1:34" x14ac:dyDescent="0.25">
      <c r="A31" t="str">
        <f t="shared" si="10"/>
        <v>0</v>
      </c>
      <c r="B31">
        <f>COUNTIF($C$2:C31,C31)</f>
        <v>0</v>
      </c>
      <c r="D31" t="str">
        <f t="shared" si="0"/>
        <v>26</v>
      </c>
      <c r="E31">
        <f>COUNTIF($F$2:F31,F31)</f>
        <v>26</v>
      </c>
      <c r="F31" t="str">
        <f t="shared" si="1"/>
        <v/>
      </c>
      <c r="G31" t="str">
        <f>IF(資料登打!$D$5="","",資料登打!$D$5)</f>
        <v/>
      </c>
      <c r="H31" s="10">
        <f>IF(資料登打!$D$11&gt;8,9,)</f>
        <v>0</v>
      </c>
      <c r="I31" s="10" t="str">
        <f>IF(資料登打!$D$28="","",資料登打!$D$28)</f>
        <v/>
      </c>
      <c r="J31" s="10" t="str">
        <f>IF(資料登打!$D$28="","",資料登打!J3)</f>
        <v/>
      </c>
      <c r="K31" s="10" t="str">
        <f>IF(資料登打!$D$28="","",資料登打!K3)</f>
        <v/>
      </c>
      <c r="L31" s="10"/>
      <c r="M31" s="10" t="str">
        <f>IF(資料登打!$D$28="","",資料登打!M3)</f>
        <v/>
      </c>
      <c r="N31" s="10" t="str">
        <f>IF(資料登打!$D$28="","",資料登打!N3)</f>
        <v/>
      </c>
      <c r="O31" s="10"/>
      <c r="P31" s="28"/>
      <c r="Q31" s="28"/>
      <c r="R31" s="28"/>
      <c r="S31" s="28"/>
      <c r="T31" s="28"/>
      <c r="U31" s="28"/>
      <c r="V31" s="28"/>
      <c r="X31" t="str">
        <f>IF(I13="","","印222")</f>
        <v/>
      </c>
    </row>
    <row r="32" spans="1:34" x14ac:dyDescent="0.25">
      <c r="A32" t="str">
        <f t="shared" si="10"/>
        <v>0</v>
      </c>
      <c r="B32">
        <f>COUNTIF($C$2:C32,C32)</f>
        <v>0</v>
      </c>
      <c r="D32" t="str">
        <f t="shared" si="0"/>
        <v>27</v>
      </c>
      <c r="E32">
        <f>COUNTIF($F$2:F32,F32)</f>
        <v>27</v>
      </c>
      <c r="F32" t="str">
        <f t="shared" si="1"/>
        <v/>
      </c>
      <c r="G32" t="str">
        <f>IF(資料登打!$D$5="","",資料登打!$D$5)</f>
        <v/>
      </c>
      <c r="H32" s="10">
        <f>IF(資料登打!$D$11&gt;9,10,)</f>
        <v>0</v>
      </c>
      <c r="I32" s="10" t="str">
        <f>IF(資料登打!$D$30="","",資料登打!$D$30)</f>
        <v/>
      </c>
      <c r="J32" s="10" t="str">
        <f>IF(資料登打!$D$30="","",資料登打!J3)</f>
        <v/>
      </c>
      <c r="K32" s="10" t="str">
        <f>IF(資料登打!$D$30="","",資料登打!K3)</f>
        <v/>
      </c>
      <c r="L32" s="10"/>
      <c r="M32" s="10" t="str">
        <f>IF(資料登打!$D$30="","",資料登打!M3)</f>
        <v/>
      </c>
      <c r="N32" s="10" t="str">
        <f>IF(資料登打!$D$30="","",資料登打!N3)</f>
        <v/>
      </c>
      <c r="O32" s="10"/>
      <c r="P32" s="28"/>
      <c r="Q32" s="28"/>
      <c r="R32" s="28"/>
      <c r="S32" s="28"/>
      <c r="T32" s="28"/>
      <c r="U32" s="28"/>
      <c r="V32" s="28"/>
      <c r="X32" t="str">
        <f>IF(I23="","","印333")</f>
        <v/>
      </c>
    </row>
    <row r="33" spans="1:24" x14ac:dyDescent="0.25">
      <c r="A33" t="str">
        <f t="shared" si="10"/>
        <v>31</v>
      </c>
      <c r="B33">
        <f>COUNTIF($C$2:C33,C33)</f>
        <v>31</v>
      </c>
      <c r="C33" t="str">
        <f t="shared" si="12"/>
        <v/>
      </c>
      <c r="D33" t="str">
        <f t="shared" si="0"/>
        <v>28</v>
      </c>
      <c r="E33">
        <f>COUNTIF($F$2:F33,F33)</f>
        <v>28</v>
      </c>
      <c r="F33" t="str">
        <f t="shared" si="1"/>
        <v/>
      </c>
      <c r="G33" t="str">
        <f>IF(資料登打!$E$5="","",資料登打!$E$5)</f>
        <v/>
      </c>
      <c r="H33" s="10">
        <f>IF(資料登打!$E$11&gt;0,1,)</f>
        <v>0</v>
      </c>
      <c r="I33" s="10" t="str">
        <f>IF(資料登打!$E$12="","",資料登打!$E$12)</f>
        <v/>
      </c>
      <c r="J33" s="10" t="str">
        <f>IF(資料登打!$E$12="","",資料登打!J3)</f>
        <v/>
      </c>
      <c r="K33" s="10" t="str">
        <f>IF(資料登打!$E$12="","",資料登打!K3)</f>
        <v/>
      </c>
      <c r="L33" s="10"/>
      <c r="M33" s="10" t="str">
        <f>IF(資料登打!$E$12="","",資料登打!M3)</f>
        <v/>
      </c>
      <c r="N33" s="10" t="str">
        <f>IF(資料登打!$E$12="","",資料登打!N3)</f>
        <v/>
      </c>
      <c r="O33" s="10"/>
      <c r="P33" s="28">
        <f>資料登打!$E$11</f>
        <v>0</v>
      </c>
      <c r="Q33" s="28">
        <f>資料登打!$E$10</f>
        <v>0</v>
      </c>
      <c r="R33" s="28">
        <f>資料登打!$E$4</f>
        <v>0</v>
      </c>
      <c r="S33" s="28" t="str">
        <f>CONCATENATE(資料登打!E$12,資料登打!E$13,資料登打!E$14,資料登打!E$15,資料登打!$E$16,資料登打!E$17,資料登打!E$18,資料登打!E$19,資料登打!E$20,資料登打!E$21,資料登打!E$22,資料登打!E$23,資料登打!E$24,資料登打!E$25,資料登打!E$26,資料登打!E$27,資料登打!E$28,資料登打!E$29,資料登打!E$30)</f>
        <v/>
      </c>
      <c r="T33" s="28">
        <f>資料登打!$E$6</f>
        <v>0</v>
      </c>
      <c r="U33" s="28">
        <f>資料登打!$E$7</f>
        <v>0</v>
      </c>
      <c r="V33" s="28">
        <f>資料登打!$E$8</f>
        <v>0</v>
      </c>
      <c r="X33" t="str">
        <f>IF(I33="","","印444")</f>
        <v/>
      </c>
    </row>
    <row r="34" spans="1:24" x14ac:dyDescent="0.25">
      <c r="A34" t="str">
        <f t="shared" si="10"/>
        <v>0</v>
      </c>
      <c r="B34">
        <f>COUNTIF($C$2:C34,C34)</f>
        <v>0</v>
      </c>
      <c r="D34" t="str">
        <f t="shared" si="0"/>
        <v>29</v>
      </c>
      <c r="E34">
        <f>COUNTIF($F$2:F34,F34)</f>
        <v>29</v>
      </c>
      <c r="F34" t="str">
        <f t="shared" si="1"/>
        <v/>
      </c>
      <c r="G34" t="str">
        <f>IF(資料登打!$E$5="","",資料登打!$E$5)</f>
        <v/>
      </c>
      <c r="H34" s="10">
        <f>IF(資料登打!$E$11&gt;1,2,)</f>
        <v>0</v>
      </c>
      <c r="I34" s="10" t="str">
        <f>IF(資料登打!$E$14="","",資料登打!$E$14)</f>
        <v/>
      </c>
      <c r="J34" s="10" t="str">
        <f>IF(資料登打!$E$14="","",資料登打!J3)</f>
        <v/>
      </c>
      <c r="K34" s="10" t="str">
        <f>IF(資料登打!$E$14="","",資料登打!K3)</f>
        <v/>
      </c>
      <c r="L34" s="10"/>
      <c r="M34" s="10" t="str">
        <f>IF(資料登打!$E$14="","",資料登打!M3)</f>
        <v/>
      </c>
      <c r="N34" s="10" t="str">
        <f>IF(資料登打!$E$14="","",資料登打!N3)</f>
        <v/>
      </c>
      <c r="O34" s="10"/>
      <c r="P34" s="28"/>
      <c r="Q34" s="28"/>
      <c r="R34" s="28"/>
      <c r="S34" s="28"/>
      <c r="T34" s="28"/>
      <c r="U34" s="28"/>
      <c r="V34" s="28"/>
      <c r="X34" t="str">
        <f>IF(I43="","","印555")</f>
        <v/>
      </c>
    </row>
    <row r="35" spans="1:24" x14ac:dyDescent="0.25">
      <c r="A35" t="str">
        <f t="shared" si="10"/>
        <v>0</v>
      </c>
      <c r="B35">
        <f>COUNTIF($C$2:C35,C35)</f>
        <v>0</v>
      </c>
      <c r="D35" t="str">
        <f t="shared" si="0"/>
        <v>30</v>
      </c>
      <c r="E35">
        <f>COUNTIF($F$2:F35,F35)</f>
        <v>30</v>
      </c>
      <c r="F35" t="str">
        <f t="shared" si="1"/>
        <v/>
      </c>
      <c r="G35" t="str">
        <f>IF(資料登打!$E$5="","",資料登打!$E$5)</f>
        <v/>
      </c>
      <c r="H35" s="10">
        <f>IF(資料登打!$E$11&gt;2,3,)</f>
        <v>0</v>
      </c>
      <c r="I35" s="10" t="str">
        <f>IF(資料登打!$E$16="","",資料登打!$E$16)</f>
        <v/>
      </c>
      <c r="J35" s="10" t="str">
        <f>IF(資料登打!$E$16="","",資料登打!J3)</f>
        <v/>
      </c>
      <c r="K35" s="10" t="str">
        <f>IF(資料登打!$E$16="","",資料登打!K3)</f>
        <v/>
      </c>
      <c r="L35" s="10"/>
      <c r="M35" s="10" t="str">
        <f>IF(資料登打!$E$16="","",資料登打!M3)</f>
        <v/>
      </c>
      <c r="N35" s="10" t="str">
        <f>IF(資料登打!$E$16="","",資料登打!N3)</f>
        <v/>
      </c>
      <c r="O35" s="10"/>
      <c r="P35" s="28"/>
      <c r="Q35" s="28"/>
      <c r="R35" s="28"/>
      <c r="S35" s="28"/>
      <c r="T35" s="28"/>
      <c r="U35" s="28"/>
      <c r="V35" s="28"/>
      <c r="X35" t="str">
        <f>IF(I53="","","印666")</f>
        <v/>
      </c>
    </row>
    <row r="36" spans="1:24" x14ac:dyDescent="0.25">
      <c r="A36" t="str">
        <f t="shared" si="10"/>
        <v>0</v>
      </c>
      <c r="B36">
        <f>COUNTIF($C$2:C36,C36)</f>
        <v>0</v>
      </c>
      <c r="D36" t="str">
        <f t="shared" si="0"/>
        <v>31</v>
      </c>
      <c r="E36">
        <f>COUNTIF($F$2:F36,F36)</f>
        <v>31</v>
      </c>
      <c r="F36" t="str">
        <f t="shared" si="1"/>
        <v/>
      </c>
      <c r="G36" t="str">
        <f>IF(資料登打!$E$5="","",資料登打!$E$5)</f>
        <v/>
      </c>
      <c r="H36" s="10">
        <f>IF(資料登打!$E$11&gt;3,4,)</f>
        <v>0</v>
      </c>
      <c r="I36" s="10" t="str">
        <f>IF(資料登打!$E$18="","",資料登打!$E$18)</f>
        <v/>
      </c>
      <c r="J36" s="10" t="str">
        <f>IF(資料登打!$E$18="","",資料登打!J3)</f>
        <v/>
      </c>
      <c r="K36" s="10" t="str">
        <f>IF(資料登打!$E$18="","",資料登打!K3)</f>
        <v/>
      </c>
      <c r="L36" s="10"/>
      <c r="M36" s="10" t="str">
        <f>IF(資料登打!$E$18="","",資料登打!M3)</f>
        <v/>
      </c>
      <c r="N36" s="10" t="str">
        <f>IF(資料登打!$E$18="","",資料登打!N3)</f>
        <v/>
      </c>
      <c r="O36" s="10"/>
      <c r="P36" s="28"/>
      <c r="Q36" s="28"/>
      <c r="R36" s="28"/>
      <c r="S36" s="28"/>
      <c r="T36" s="28"/>
      <c r="U36" s="28"/>
      <c r="V36" s="28"/>
      <c r="X36" t="str">
        <f>IF(I63="","","印777")</f>
        <v/>
      </c>
    </row>
    <row r="37" spans="1:24" x14ac:dyDescent="0.25">
      <c r="A37" t="str">
        <f t="shared" si="10"/>
        <v>0</v>
      </c>
      <c r="B37">
        <f>COUNTIF($C$2:C37,C37)</f>
        <v>0</v>
      </c>
      <c r="D37" t="str">
        <f t="shared" si="0"/>
        <v>32</v>
      </c>
      <c r="E37">
        <f>COUNTIF($F$2:F37,F37)</f>
        <v>32</v>
      </c>
      <c r="F37" t="str">
        <f t="shared" si="1"/>
        <v/>
      </c>
      <c r="G37" t="str">
        <f>IF(資料登打!$E$5="","",資料登打!$E$5)</f>
        <v/>
      </c>
      <c r="H37" s="10">
        <f>IF(資料登打!$E$11&gt;4,5,)</f>
        <v>0</v>
      </c>
      <c r="I37" s="10" t="str">
        <f>IF(資料登打!$E$20="","",資料登打!$E$20)</f>
        <v/>
      </c>
      <c r="J37" s="10" t="str">
        <f>IF(資料登打!$E$20="","",資料登打!J3)</f>
        <v/>
      </c>
      <c r="K37" s="10" t="str">
        <f>IF(資料登打!$E$20="","",資料登打!K3)</f>
        <v/>
      </c>
      <c r="L37" s="10"/>
      <c r="M37" s="10" t="str">
        <f>IF(資料登打!$E$20="","",資料登打!M3)</f>
        <v/>
      </c>
      <c r="N37" s="10" t="str">
        <f>IF(資料登打!$E$20="","",資料登打!N3)</f>
        <v/>
      </c>
      <c r="O37" s="10"/>
      <c r="P37" s="28"/>
      <c r="Q37" s="28"/>
      <c r="R37" s="28"/>
      <c r="S37" s="28"/>
      <c r="T37" s="28"/>
      <c r="U37" s="28"/>
      <c r="V37" s="28"/>
    </row>
    <row r="38" spans="1:24" x14ac:dyDescent="0.25">
      <c r="A38" t="str">
        <f t="shared" si="10"/>
        <v>0</v>
      </c>
      <c r="B38">
        <f>COUNTIF($C$2:C38,C38)</f>
        <v>0</v>
      </c>
      <c r="D38" t="str">
        <f t="shared" si="0"/>
        <v>33</v>
      </c>
      <c r="E38">
        <f>COUNTIF($F$2:F38,F38)</f>
        <v>33</v>
      </c>
      <c r="F38" t="str">
        <f t="shared" si="1"/>
        <v/>
      </c>
      <c r="G38" t="str">
        <f>IF(資料登打!$E$5="","",資料登打!$E$5)</f>
        <v/>
      </c>
      <c r="H38" s="10">
        <f>IF(資料登打!$E$11&gt;5,6,)</f>
        <v>0</v>
      </c>
      <c r="I38" s="10" t="str">
        <f>IF(資料登打!$E$22="","",資料登打!$E$22)</f>
        <v/>
      </c>
      <c r="J38" s="10" t="str">
        <f>IF(資料登打!$E$22="","",資料登打!J3)</f>
        <v/>
      </c>
      <c r="K38" s="10" t="str">
        <f>IF(資料登打!$E$22="","",資料登打!K3)</f>
        <v/>
      </c>
      <c r="L38" s="10"/>
      <c r="M38" s="10" t="str">
        <f>IF(資料登打!$E$22="","",資料登打!M3)</f>
        <v/>
      </c>
      <c r="N38" s="10" t="str">
        <f>IF(資料登打!$E$22="","",資料登打!N3)</f>
        <v/>
      </c>
      <c r="O38" s="10"/>
      <c r="P38" s="28"/>
      <c r="Q38" s="28"/>
      <c r="R38" s="28"/>
      <c r="S38" s="28"/>
      <c r="T38" s="28"/>
      <c r="U38" s="28"/>
      <c r="V38" s="28"/>
    </row>
    <row r="39" spans="1:24" x14ac:dyDescent="0.25">
      <c r="A39" t="str">
        <f t="shared" si="10"/>
        <v>0</v>
      </c>
      <c r="B39">
        <f>COUNTIF($C$2:C39,C39)</f>
        <v>0</v>
      </c>
      <c r="D39" t="str">
        <f t="shared" si="0"/>
        <v>34</v>
      </c>
      <c r="E39">
        <f>COUNTIF($F$2:F39,F39)</f>
        <v>34</v>
      </c>
      <c r="F39" t="str">
        <f t="shared" si="1"/>
        <v/>
      </c>
      <c r="G39" t="str">
        <f>IF(資料登打!$E$5="","",資料登打!$E$5)</f>
        <v/>
      </c>
      <c r="H39" s="10">
        <f>IF(資料登打!$E$11&gt;6,7,)</f>
        <v>0</v>
      </c>
      <c r="I39" s="10" t="str">
        <f>IF(資料登打!$E$24="","",資料登打!$E$24)</f>
        <v/>
      </c>
      <c r="J39" s="10" t="str">
        <f>IF(資料登打!$E$24="","",資料登打!J3)</f>
        <v/>
      </c>
      <c r="K39" s="10" t="str">
        <f>IF(資料登打!$E$24="","",資料登打!K3)</f>
        <v/>
      </c>
      <c r="L39" s="10"/>
      <c r="M39" s="10" t="str">
        <f>IF(資料登打!$E$24="","",資料登打!M3)</f>
        <v/>
      </c>
      <c r="N39" s="10" t="str">
        <f>IF(資料登打!$E$24="","",資料登打!N3)</f>
        <v/>
      </c>
      <c r="O39" s="10"/>
      <c r="P39" s="28"/>
      <c r="Q39" s="28"/>
      <c r="R39" s="28"/>
      <c r="S39" s="28"/>
      <c r="T39" s="28"/>
      <c r="U39" s="28"/>
      <c r="V39" s="28"/>
    </row>
    <row r="40" spans="1:24" x14ac:dyDescent="0.25">
      <c r="A40" t="str">
        <f t="shared" si="10"/>
        <v>0</v>
      </c>
      <c r="B40">
        <f>COUNTIF($C$2:C40,C40)</f>
        <v>0</v>
      </c>
      <c r="D40" t="str">
        <f t="shared" si="0"/>
        <v>35</v>
      </c>
      <c r="E40">
        <f>COUNTIF($F$2:F40,F40)</f>
        <v>35</v>
      </c>
      <c r="F40" t="str">
        <f t="shared" si="1"/>
        <v/>
      </c>
      <c r="G40" t="str">
        <f>IF(資料登打!$E$5="","",資料登打!$E$5)</f>
        <v/>
      </c>
      <c r="H40" s="10">
        <f>IF(資料登打!$E$11&gt;7,8,)</f>
        <v>0</v>
      </c>
      <c r="I40" s="10" t="str">
        <f>IF(資料登打!$E$26="","",資料登打!$E$26)</f>
        <v/>
      </c>
      <c r="J40" s="10" t="str">
        <f>IF(資料登打!$E$26="","",資料登打!J3)</f>
        <v/>
      </c>
      <c r="K40" s="10" t="str">
        <f>IF(資料登打!$E$26="","",資料登打!K3)</f>
        <v/>
      </c>
      <c r="L40" s="10"/>
      <c r="M40" s="10" t="str">
        <f>IF(資料登打!$E$26="","",資料登打!M3)</f>
        <v/>
      </c>
      <c r="N40" s="10" t="str">
        <f>IF(資料登打!$E$26="","",資料登打!N3)</f>
        <v/>
      </c>
      <c r="O40" s="10"/>
      <c r="P40" s="28"/>
      <c r="Q40" s="28"/>
      <c r="R40" s="28"/>
      <c r="S40" s="28"/>
      <c r="T40" s="28"/>
      <c r="U40" s="28"/>
      <c r="V40" s="28"/>
    </row>
    <row r="41" spans="1:24" x14ac:dyDescent="0.25">
      <c r="A41" t="str">
        <f t="shared" si="10"/>
        <v>0</v>
      </c>
      <c r="B41">
        <f>COUNTIF($C$2:C41,C41)</f>
        <v>0</v>
      </c>
      <c r="D41" t="str">
        <f t="shared" si="0"/>
        <v>36</v>
      </c>
      <c r="E41">
        <f>COUNTIF($F$2:F41,F41)</f>
        <v>36</v>
      </c>
      <c r="F41" t="str">
        <f t="shared" si="1"/>
        <v/>
      </c>
      <c r="G41" t="str">
        <f>IF(資料登打!$E$5="","",資料登打!$E$5)</f>
        <v/>
      </c>
      <c r="H41" s="10">
        <f>IF(資料登打!$E$11&gt;8,9,)</f>
        <v>0</v>
      </c>
      <c r="I41" s="10" t="str">
        <f>IF(資料登打!$E$28="","",資料登打!$E$28)</f>
        <v/>
      </c>
      <c r="J41" s="10" t="str">
        <f>IF(資料登打!$E$28="","",資料登打!J3)</f>
        <v/>
      </c>
      <c r="K41" s="10" t="str">
        <f>IF(資料登打!$E$28="","",資料登打!K3)</f>
        <v/>
      </c>
      <c r="L41" s="10"/>
      <c r="M41" s="10" t="str">
        <f>IF(資料登打!$E$28="","",資料登打!M3)</f>
        <v/>
      </c>
      <c r="N41" s="10" t="str">
        <f>IF(資料登打!$E$28="","",資料登打!N3)</f>
        <v/>
      </c>
      <c r="O41" s="10"/>
      <c r="P41" s="28"/>
      <c r="Q41" s="28"/>
      <c r="R41" s="28"/>
      <c r="S41" s="28"/>
      <c r="T41" s="28"/>
      <c r="U41" s="28"/>
      <c r="V41" s="28"/>
    </row>
    <row r="42" spans="1:24" x14ac:dyDescent="0.25">
      <c r="A42" t="str">
        <f t="shared" si="10"/>
        <v>0</v>
      </c>
      <c r="B42">
        <f>COUNTIF($C$2:C42,C42)</f>
        <v>0</v>
      </c>
      <c r="D42" t="str">
        <f t="shared" si="0"/>
        <v>37</v>
      </c>
      <c r="E42">
        <f>COUNTIF($F$2:F42,F42)</f>
        <v>37</v>
      </c>
      <c r="F42" t="str">
        <f t="shared" si="1"/>
        <v/>
      </c>
      <c r="G42" t="str">
        <f>IF(資料登打!$E$5="","",資料登打!$E$5)</f>
        <v/>
      </c>
      <c r="H42" s="10">
        <f>IF(資料登打!$E$11&gt;9,10,)</f>
        <v>0</v>
      </c>
      <c r="I42" s="10" t="str">
        <f>IF(資料登打!$E$30="","",資料登打!$E$30)</f>
        <v/>
      </c>
      <c r="J42" s="10" t="str">
        <f>IF(資料登打!$E$30="","",資料登打!J3)</f>
        <v/>
      </c>
      <c r="K42" s="10" t="str">
        <f>IF(資料登打!$E$30="","",資料登打!K3)</f>
        <v/>
      </c>
      <c r="L42" s="10"/>
      <c r="M42" s="10" t="str">
        <f>IF(資料登打!$E$30="","",資料登打!M3)</f>
        <v/>
      </c>
      <c r="N42" s="10" t="str">
        <f>IF(資料登打!$E$30="","",資料登打!N3)</f>
        <v/>
      </c>
      <c r="O42" s="10"/>
      <c r="P42" s="28"/>
      <c r="Q42" s="28"/>
      <c r="R42" s="28"/>
      <c r="S42" s="28"/>
      <c r="T42" s="28"/>
      <c r="U42" s="28"/>
      <c r="V42" s="28"/>
    </row>
    <row r="43" spans="1:24" x14ac:dyDescent="0.25">
      <c r="A43" t="str">
        <f t="shared" si="10"/>
        <v>41</v>
      </c>
      <c r="B43">
        <f>COUNTIF($C$2:C43,C43)</f>
        <v>41</v>
      </c>
      <c r="C43" t="str">
        <f t="shared" si="12"/>
        <v/>
      </c>
      <c r="D43" t="str">
        <f t="shared" si="0"/>
        <v>38</v>
      </c>
      <c r="E43">
        <f>COUNTIF($F$2:F43,F43)</f>
        <v>38</v>
      </c>
      <c r="F43" t="str">
        <f t="shared" si="1"/>
        <v/>
      </c>
      <c r="G43" t="str">
        <f>IF(資料登打!$F$5="","",資料登打!$F$5)</f>
        <v/>
      </c>
      <c r="H43" s="10">
        <f>IF(資料登打!$F$11&gt;0,1,)</f>
        <v>0</v>
      </c>
      <c r="I43" s="10" t="str">
        <f>IF(資料登打!$F$12="","",資料登打!$F$12)</f>
        <v/>
      </c>
      <c r="J43" s="10" t="str">
        <f>IF(資料登打!$F$12="","",資料登打!J3)</f>
        <v/>
      </c>
      <c r="K43" s="10" t="str">
        <f>IF(資料登打!$F$12="","",資料登打!K3)</f>
        <v/>
      </c>
      <c r="L43" s="10"/>
      <c r="M43" s="10" t="str">
        <f>IF(資料登打!$F$12="","",資料登打!M3)</f>
        <v/>
      </c>
      <c r="N43" s="10" t="str">
        <f>IF(資料登打!$F$12="","",資料登打!N3)</f>
        <v/>
      </c>
      <c r="O43" s="10"/>
      <c r="P43" s="28">
        <f>資料登打!$F$11</f>
        <v>0</v>
      </c>
      <c r="Q43" s="28">
        <f>資料登打!$F$10</f>
        <v>0</v>
      </c>
      <c r="R43" s="28">
        <f>資料登打!$F$4</f>
        <v>0</v>
      </c>
      <c r="S43" s="28" t="str">
        <f>CONCATENATE(資料登打!F$12,資料登打!F$13,資料登打!F$14,資料登打!F$15,資料登打!$F$16,資料登打!F$17,資料登打!F$18,資料登打!F$19,資料登打!F$20,資料登打!F$21,資料登打!F$22,資料登打!F$23,資料登打!F$24,資料登打!F$25,資料登打!F$26,資料登打!F$27,資料登打!F$28,資料登打!F$29,資料登打!F$30)</f>
        <v/>
      </c>
      <c r="T43" s="28">
        <f>資料登打!$F$6</f>
        <v>0</v>
      </c>
      <c r="U43" s="28">
        <f>資料登打!$F$7</f>
        <v>0</v>
      </c>
      <c r="V43" s="28">
        <f>資料登打!$F$8</f>
        <v>0</v>
      </c>
    </row>
    <row r="44" spans="1:24" x14ac:dyDescent="0.25">
      <c r="A44" t="str">
        <f t="shared" si="10"/>
        <v>0</v>
      </c>
      <c r="B44">
        <f>COUNTIF($C$2:C44,C44)</f>
        <v>0</v>
      </c>
      <c r="D44" t="str">
        <f t="shared" si="0"/>
        <v>39</v>
      </c>
      <c r="E44">
        <f>COUNTIF($F$2:F44,F44)</f>
        <v>39</v>
      </c>
      <c r="F44" t="str">
        <f t="shared" si="1"/>
        <v/>
      </c>
      <c r="G44" t="str">
        <f>IF(資料登打!$F$5="","",資料登打!$F$5)</f>
        <v/>
      </c>
      <c r="H44" s="10">
        <f>IF(資料登打!$F$11&gt;1,2,)</f>
        <v>0</v>
      </c>
      <c r="I44" s="10" t="str">
        <f>IF(資料登打!$F$14="","",資料登打!$F$14)</f>
        <v/>
      </c>
      <c r="J44" s="10" t="str">
        <f>IF(資料登打!$F$14="","",資料登打!J3)</f>
        <v/>
      </c>
      <c r="K44" s="10" t="str">
        <f>IF(資料登打!$F$14="","",資料登打!K3)</f>
        <v/>
      </c>
      <c r="L44" s="10"/>
      <c r="M44" s="10" t="str">
        <f>IF(資料登打!$F$14="","",資料登打!M3)</f>
        <v/>
      </c>
      <c r="N44" s="10" t="str">
        <f>IF(資料登打!$F$14="","",資料登打!N3)</f>
        <v/>
      </c>
      <c r="O44" s="10"/>
      <c r="P44" s="28"/>
      <c r="Q44" s="28"/>
      <c r="R44" s="28"/>
      <c r="S44" s="28"/>
      <c r="T44" s="28"/>
      <c r="U44" s="28"/>
      <c r="V44" s="28"/>
    </row>
    <row r="45" spans="1:24" x14ac:dyDescent="0.25">
      <c r="A45" t="str">
        <f t="shared" si="10"/>
        <v>0</v>
      </c>
      <c r="B45">
        <f>COUNTIF($C$2:C45,C45)</f>
        <v>0</v>
      </c>
      <c r="D45" t="str">
        <f t="shared" si="0"/>
        <v>40</v>
      </c>
      <c r="E45">
        <f>COUNTIF($F$2:F45,F45)</f>
        <v>40</v>
      </c>
      <c r="F45" t="str">
        <f t="shared" si="1"/>
        <v/>
      </c>
      <c r="G45" t="str">
        <f>IF(資料登打!$F$5="","",資料登打!$F$5)</f>
        <v/>
      </c>
      <c r="H45" s="10">
        <f>IF(資料登打!$F$11&gt;2,3,)</f>
        <v>0</v>
      </c>
      <c r="I45" s="10" t="str">
        <f>IF(資料登打!$F$16="","",資料登打!$F$16)</f>
        <v/>
      </c>
      <c r="J45" s="10" t="str">
        <f>IF(資料登打!$F$16="","",資料登打!J3)</f>
        <v/>
      </c>
      <c r="K45" s="10" t="str">
        <f>IF(資料登打!$F$16="","",資料登打!K3)</f>
        <v/>
      </c>
      <c r="L45" s="10"/>
      <c r="M45" s="10" t="str">
        <f>IF(資料登打!$F$16="","",資料登打!M3)</f>
        <v/>
      </c>
      <c r="N45" s="10" t="str">
        <f>IF(資料登打!$F$16="","",資料登打!N3)</f>
        <v/>
      </c>
      <c r="O45" s="10"/>
      <c r="P45" s="28"/>
      <c r="Q45" s="28"/>
      <c r="R45" s="28"/>
      <c r="S45" s="28"/>
      <c r="T45" s="28"/>
      <c r="U45" s="28"/>
      <c r="V45" s="28"/>
    </row>
    <row r="46" spans="1:24" x14ac:dyDescent="0.25">
      <c r="A46" t="str">
        <f t="shared" si="10"/>
        <v>0</v>
      </c>
      <c r="B46">
        <f>COUNTIF($C$2:C46,C46)</f>
        <v>0</v>
      </c>
      <c r="D46" t="str">
        <f t="shared" si="0"/>
        <v>41</v>
      </c>
      <c r="E46">
        <f>COUNTIF($F$2:F46,F46)</f>
        <v>41</v>
      </c>
      <c r="F46" t="str">
        <f t="shared" si="1"/>
        <v/>
      </c>
      <c r="G46" t="str">
        <f>IF(資料登打!$F$5="","",資料登打!$F$5)</f>
        <v/>
      </c>
      <c r="H46" s="10">
        <f>IF(資料登打!$F$11&gt;3,4,)</f>
        <v>0</v>
      </c>
      <c r="I46" s="10" t="str">
        <f>IF(資料登打!$F$18="","",資料登打!$F$18)</f>
        <v/>
      </c>
      <c r="J46" s="10" t="str">
        <f>IF(資料登打!$F$18="","",資料登打!J3)</f>
        <v/>
      </c>
      <c r="K46" s="10" t="str">
        <f>IF(資料登打!$F$18="","",資料登打!K3)</f>
        <v/>
      </c>
      <c r="L46" s="10"/>
      <c r="M46" s="10" t="str">
        <f>IF(資料登打!$F$18="","",資料登打!M3)</f>
        <v/>
      </c>
      <c r="N46" s="10" t="str">
        <f>IF(資料登打!$F$18="","",資料登打!N3)</f>
        <v/>
      </c>
      <c r="O46" s="10"/>
      <c r="P46" s="28"/>
      <c r="Q46" s="28"/>
      <c r="R46" s="28"/>
      <c r="S46" s="28"/>
      <c r="T46" s="28"/>
      <c r="U46" s="28"/>
      <c r="V46" s="28"/>
    </row>
    <row r="47" spans="1:24" x14ac:dyDescent="0.25">
      <c r="A47" t="str">
        <f t="shared" si="10"/>
        <v>0</v>
      </c>
      <c r="B47">
        <f>COUNTIF($C$2:C47,C47)</f>
        <v>0</v>
      </c>
      <c r="D47" t="str">
        <f t="shared" si="0"/>
        <v>42</v>
      </c>
      <c r="E47">
        <f>COUNTIF($F$2:F47,F47)</f>
        <v>42</v>
      </c>
      <c r="F47" t="str">
        <f t="shared" si="1"/>
        <v/>
      </c>
      <c r="G47" t="str">
        <f>IF(資料登打!$F$5="","",資料登打!$F$5)</f>
        <v/>
      </c>
      <c r="H47" s="10">
        <f>IF(資料登打!$F$11&gt;4,5,)</f>
        <v>0</v>
      </c>
      <c r="I47" s="10" t="str">
        <f>IF(資料登打!$F$20="","",資料登打!$F$20)</f>
        <v/>
      </c>
      <c r="J47" s="10" t="str">
        <f>IF(資料登打!$F$20="","",資料登打!J3)</f>
        <v/>
      </c>
      <c r="K47" s="10" t="str">
        <f>IF(資料登打!$F$20="","",資料登打!K3)</f>
        <v/>
      </c>
      <c r="L47" s="10"/>
      <c r="M47" s="10" t="str">
        <f>IF(資料登打!$F$20="","",資料登打!M3)</f>
        <v/>
      </c>
      <c r="N47" s="10" t="str">
        <f>IF(資料登打!$F$20="","",資料登打!N3)</f>
        <v/>
      </c>
      <c r="O47" s="10"/>
      <c r="P47" s="28"/>
      <c r="Q47" s="28"/>
      <c r="R47" s="28"/>
      <c r="S47" s="28"/>
      <c r="T47" s="28"/>
      <c r="U47" s="28"/>
      <c r="V47" s="28"/>
    </row>
    <row r="48" spans="1:24" x14ac:dyDescent="0.25">
      <c r="A48" t="str">
        <f t="shared" si="10"/>
        <v>0</v>
      </c>
      <c r="B48">
        <f>COUNTIF($C$2:C48,C48)</f>
        <v>0</v>
      </c>
      <c r="D48" t="str">
        <f t="shared" si="0"/>
        <v>43</v>
      </c>
      <c r="E48">
        <f>COUNTIF($F$2:F48,F48)</f>
        <v>43</v>
      </c>
      <c r="F48" t="str">
        <f t="shared" si="1"/>
        <v/>
      </c>
      <c r="G48" t="str">
        <f>IF(資料登打!$F$5="","",資料登打!$F$5)</f>
        <v/>
      </c>
      <c r="H48" s="10">
        <f>IF(資料登打!$F$11&gt;5,6,)</f>
        <v>0</v>
      </c>
      <c r="I48" s="10" t="str">
        <f>IF(資料登打!$F$22="","",資料登打!$F$22)</f>
        <v/>
      </c>
      <c r="J48" s="10" t="str">
        <f>IF(資料登打!$F$22="","",資料登打!J3)</f>
        <v/>
      </c>
      <c r="K48" s="10" t="str">
        <f>IF(資料登打!$F$22="","",資料登打!K3)</f>
        <v/>
      </c>
      <c r="L48" s="10"/>
      <c r="M48" s="10" t="str">
        <f>IF(資料登打!$F$22="","",資料登打!M3)</f>
        <v/>
      </c>
      <c r="N48" s="10" t="str">
        <f>IF(資料登打!$F$22="","",資料登打!N3)</f>
        <v/>
      </c>
      <c r="O48" s="10"/>
      <c r="P48" s="28"/>
      <c r="Q48" s="28"/>
      <c r="R48" s="28"/>
      <c r="S48" s="28"/>
      <c r="T48" s="28"/>
      <c r="U48" s="28"/>
      <c r="V48" s="28"/>
    </row>
    <row r="49" spans="1:22" x14ac:dyDescent="0.25">
      <c r="A49" t="str">
        <f t="shared" si="10"/>
        <v>0</v>
      </c>
      <c r="B49">
        <f>COUNTIF($C$2:C49,C49)</f>
        <v>0</v>
      </c>
      <c r="D49" t="str">
        <f t="shared" si="0"/>
        <v>44</v>
      </c>
      <c r="E49">
        <f>COUNTIF($F$2:F49,F49)</f>
        <v>44</v>
      </c>
      <c r="F49" t="str">
        <f t="shared" si="1"/>
        <v/>
      </c>
      <c r="G49" t="str">
        <f>IF(資料登打!$F$5="","",資料登打!$F$5)</f>
        <v/>
      </c>
      <c r="H49" s="10">
        <f>IF(資料登打!$F$11&gt;6,7,)</f>
        <v>0</v>
      </c>
      <c r="I49" s="10" t="str">
        <f>IF(資料登打!$F$24="","",資料登打!$F$24)</f>
        <v/>
      </c>
      <c r="J49" s="10" t="str">
        <f>IF(資料登打!$F$24="","",資料登打!J3)</f>
        <v/>
      </c>
      <c r="K49" s="10" t="str">
        <f>IF(資料登打!$F$24="","",資料登打!K3)</f>
        <v/>
      </c>
      <c r="L49" s="10"/>
      <c r="M49" s="10" t="str">
        <f>IF(資料登打!$F$24="","",資料登打!M3)</f>
        <v/>
      </c>
      <c r="N49" s="10" t="str">
        <f>IF(資料登打!$F$24="","",資料登打!N3)</f>
        <v/>
      </c>
      <c r="O49" s="10"/>
      <c r="P49" s="28"/>
      <c r="Q49" s="28"/>
      <c r="R49" s="28"/>
      <c r="S49" s="28"/>
      <c r="T49" s="28"/>
      <c r="U49" s="28"/>
      <c r="V49" s="28"/>
    </row>
    <row r="50" spans="1:22" x14ac:dyDescent="0.25">
      <c r="A50" t="str">
        <f t="shared" si="10"/>
        <v>0</v>
      </c>
      <c r="B50">
        <f>COUNTIF($C$2:C50,C50)</f>
        <v>0</v>
      </c>
      <c r="D50" t="str">
        <f t="shared" si="0"/>
        <v>45</v>
      </c>
      <c r="E50">
        <f>COUNTIF($F$2:F50,F50)</f>
        <v>45</v>
      </c>
      <c r="F50" t="str">
        <f t="shared" si="1"/>
        <v/>
      </c>
      <c r="G50" t="str">
        <f>IF(資料登打!$F$5="","",資料登打!$F$5)</f>
        <v/>
      </c>
      <c r="H50" s="10">
        <f>IF(資料登打!$F$11&gt;7,8,)</f>
        <v>0</v>
      </c>
      <c r="I50" s="10" t="str">
        <f>IF(資料登打!$F$26="","",資料登打!$F$26)</f>
        <v/>
      </c>
      <c r="J50" s="10" t="str">
        <f>IF(資料登打!$F$26="","",資料登打!J3)</f>
        <v/>
      </c>
      <c r="K50" s="10" t="str">
        <f>IF(資料登打!$F$26="","",資料登打!K3)</f>
        <v/>
      </c>
      <c r="L50" s="10"/>
      <c r="M50" s="10" t="str">
        <f>IF(資料登打!$F$26="","",資料登打!M3)</f>
        <v/>
      </c>
      <c r="N50" s="10" t="str">
        <f>IF(資料登打!$F$26="","",資料登打!N3)</f>
        <v/>
      </c>
      <c r="O50" s="10"/>
      <c r="P50" s="28"/>
      <c r="Q50" s="28"/>
      <c r="R50" s="28"/>
      <c r="S50" s="28"/>
      <c r="T50" s="28"/>
      <c r="U50" s="28"/>
      <c r="V50" s="28"/>
    </row>
    <row r="51" spans="1:22" x14ac:dyDescent="0.25">
      <c r="A51" t="str">
        <f t="shared" si="10"/>
        <v>0</v>
      </c>
      <c r="B51">
        <f>COUNTIF($C$2:C51,C51)</f>
        <v>0</v>
      </c>
      <c r="D51" t="str">
        <f t="shared" si="0"/>
        <v>46</v>
      </c>
      <c r="E51">
        <f>COUNTIF($F$2:F51,F51)</f>
        <v>46</v>
      </c>
      <c r="F51" t="str">
        <f t="shared" si="1"/>
        <v/>
      </c>
      <c r="G51" t="str">
        <f>IF(資料登打!$F$5="","",資料登打!$F$5)</f>
        <v/>
      </c>
      <c r="H51" s="10">
        <f>IF(資料登打!$F$11&gt;8,9,)</f>
        <v>0</v>
      </c>
      <c r="I51" s="10" t="str">
        <f>IF(資料登打!$F$28="","",資料登打!$F$28)</f>
        <v/>
      </c>
      <c r="J51" s="10" t="str">
        <f>IF(資料登打!$F$28="","",資料登打!J3)</f>
        <v/>
      </c>
      <c r="K51" s="10" t="str">
        <f>IF(資料登打!$F$28="","",資料登打!K3)</f>
        <v/>
      </c>
      <c r="L51" s="10"/>
      <c r="M51" s="10" t="str">
        <f>IF(資料登打!$F$28="","",資料登打!M3)</f>
        <v/>
      </c>
      <c r="N51" s="10" t="str">
        <f>IF(資料登打!$F$28="","",資料登打!N3)</f>
        <v/>
      </c>
      <c r="O51" s="10"/>
      <c r="P51" s="28"/>
      <c r="Q51" s="28"/>
      <c r="R51" s="28"/>
      <c r="S51" s="28"/>
      <c r="T51" s="28"/>
      <c r="U51" s="28"/>
      <c r="V51" s="28"/>
    </row>
    <row r="52" spans="1:22" x14ac:dyDescent="0.25">
      <c r="A52" t="str">
        <f t="shared" si="10"/>
        <v>0</v>
      </c>
      <c r="B52">
        <f>COUNTIF($C$2:C52,C52)</f>
        <v>0</v>
      </c>
      <c r="D52" t="str">
        <f t="shared" si="0"/>
        <v>47</v>
      </c>
      <c r="E52">
        <f>COUNTIF($F$2:F52,F52)</f>
        <v>47</v>
      </c>
      <c r="F52" t="str">
        <f t="shared" si="1"/>
        <v/>
      </c>
      <c r="G52" t="str">
        <f>IF(資料登打!$F$5="","",資料登打!$F$5)</f>
        <v/>
      </c>
      <c r="H52" s="10">
        <f>IF(資料登打!$F$11&gt;9,10,)</f>
        <v>0</v>
      </c>
      <c r="I52" s="10" t="str">
        <f>IF(資料登打!$F$30="","",資料登打!$F$30)</f>
        <v/>
      </c>
      <c r="J52" s="10" t="str">
        <f>IF(資料登打!$F$30="","",資料登打!J3)</f>
        <v/>
      </c>
      <c r="K52" s="10" t="str">
        <f>IF(資料登打!$F$30="","",資料登打!K3)</f>
        <v/>
      </c>
      <c r="L52" s="10"/>
      <c r="M52" s="10" t="str">
        <f>IF(資料登打!$F$30="","",資料登打!M3)</f>
        <v/>
      </c>
      <c r="N52" s="10" t="str">
        <f>IF(資料登打!$F$30="","",資料登打!N3)</f>
        <v/>
      </c>
      <c r="O52" s="10"/>
      <c r="P52" s="28"/>
      <c r="Q52" s="28"/>
      <c r="R52" s="28"/>
      <c r="S52" s="28"/>
      <c r="T52" s="28"/>
      <c r="U52" s="28"/>
      <c r="V52" s="28"/>
    </row>
    <row r="53" spans="1:22" x14ac:dyDescent="0.25">
      <c r="A53" t="str">
        <f t="shared" si="10"/>
        <v>51</v>
      </c>
      <c r="B53">
        <f>COUNTIF($C$2:C53,C53)</f>
        <v>51</v>
      </c>
      <c r="C53" t="str">
        <f t="shared" si="12"/>
        <v/>
      </c>
      <c r="D53" t="str">
        <f t="shared" si="0"/>
        <v>48</v>
      </c>
      <c r="E53">
        <f>COUNTIF($F$2:F53,F53)</f>
        <v>48</v>
      </c>
      <c r="F53" t="str">
        <f t="shared" si="1"/>
        <v/>
      </c>
      <c r="G53" t="str">
        <f>IF(資料登打!$G$5="","",資料登打!$G$5)</f>
        <v/>
      </c>
      <c r="H53" s="10">
        <f>IF(資料登打!$G$11&gt;0,1,)</f>
        <v>0</v>
      </c>
      <c r="I53" s="10" t="str">
        <f>IF(資料登打!$G$12="","",資料登打!$G$12)</f>
        <v/>
      </c>
      <c r="J53" s="10" t="str">
        <f>IF(資料登打!$G$12="","",資料登打!J3)</f>
        <v/>
      </c>
      <c r="K53" s="10" t="str">
        <f>IF(資料登打!$G$12="","",資料登打!K3)</f>
        <v/>
      </c>
      <c r="L53" s="10"/>
      <c r="M53" s="10" t="str">
        <f>IF(資料登打!$G$12="","",資料登打!M3)</f>
        <v/>
      </c>
      <c r="N53" s="10" t="str">
        <f>IF(資料登打!$G$12="","",資料登打!N3)</f>
        <v/>
      </c>
      <c r="O53" s="10"/>
      <c r="P53" s="28">
        <f>資料登打!$G$11</f>
        <v>0</v>
      </c>
      <c r="Q53" s="28">
        <f>資料登打!$G$10</f>
        <v>0</v>
      </c>
      <c r="R53" s="28">
        <f>資料登打!$G$4</f>
        <v>0</v>
      </c>
      <c r="S53" s="28" t="str">
        <f>CONCATENATE(資料登打!G$12,資料登打!G$13,資料登打!G$14,資料登打!G$15,資料登打!$G$16,資料登打!G$17,資料登打!G$18,資料登打!G$19,資料登打!G$20,資料登打!G$21,資料登打!G$22,資料登打!G$23,資料登打!G$24,資料登打!G$25,資料登打!G$26,資料登打!G$27,資料登打!G$28,資料登打!G$29,資料登打!G$30)</f>
        <v/>
      </c>
      <c r="T53" s="28">
        <f>資料登打!$G$6</f>
        <v>0</v>
      </c>
      <c r="U53" s="28">
        <f>資料登打!$G$7</f>
        <v>0</v>
      </c>
      <c r="V53" s="28">
        <f>資料登打!$G$8</f>
        <v>0</v>
      </c>
    </row>
    <row r="54" spans="1:22" x14ac:dyDescent="0.25">
      <c r="A54" t="str">
        <f t="shared" si="10"/>
        <v>0</v>
      </c>
      <c r="B54">
        <f>COUNTIF($C$2:C54,C54)</f>
        <v>0</v>
      </c>
      <c r="D54" t="str">
        <f t="shared" si="0"/>
        <v>49</v>
      </c>
      <c r="E54">
        <f>COUNTIF($F$2:F54,F54)</f>
        <v>49</v>
      </c>
      <c r="F54" t="str">
        <f t="shared" si="1"/>
        <v/>
      </c>
      <c r="G54" t="str">
        <f>IF(資料登打!$G$5="","",資料登打!$G$5)</f>
        <v/>
      </c>
      <c r="H54" s="10">
        <f>IF(資料登打!$G$11&gt;1,2,)</f>
        <v>0</v>
      </c>
      <c r="I54" s="10" t="str">
        <f>IF(資料登打!$G$14="","",資料登打!$G$14)</f>
        <v/>
      </c>
      <c r="J54" s="10" t="str">
        <f>IF(資料登打!$G$14="","",資料登打!J3)</f>
        <v/>
      </c>
      <c r="K54" s="10" t="str">
        <f>IF(資料登打!$G$14="","",資料登打!K3)</f>
        <v/>
      </c>
      <c r="L54" s="10"/>
      <c r="M54" s="10" t="str">
        <f>IF(資料登打!$G$14="","",資料登打!M3)</f>
        <v/>
      </c>
      <c r="N54" s="10" t="str">
        <f>IF(資料登打!$G$14="","",資料登打!N3)</f>
        <v/>
      </c>
      <c r="O54" s="10"/>
      <c r="P54" s="28"/>
      <c r="Q54" s="28"/>
      <c r="R54" s="28"/>
      <c r="S54" s="28"/>
      <c r="T54" s="28"/>
      <c r="U54" s="28"/>
      <c r="V54" s="28"/>
    </row>
    <row r="55" spans="1:22" x14ac:dyDescent="0.25">
      <c r="A55" t="str">
        <f t="shared" si="10"/>
        <v>0</v>
      </c>
      <c r="B55">
        <f>COUNTIF($C$2:C55,C55)</f>
        <v>0</v>
      </c>
      <c r="D55" t="str">
        <f t="shared" si="0"/>
        <v>50</v>
      </c>
      <c r="E55">
        <f>COUNTIF($F$2:F55,F55)</f>
        <v>50</v>
      </c>
      <c r="F55" t="str">
        <f t="shared" si="1"/>
        <v/>
      </c>
      <c r="G55" t="str">
        <f>IF(資料登打!$G$5="","",資料登打!$G$5)</f>
        <v/>
      </c>
      <c r="H55" s="10">
        <f>IF(資料登打!$G$11&gt;2,3,)</f>
        <v>0</v>
      </c>
      <c r="I55" s="10" t="str">
        <f>IF(資料登打!$G$16="","",資料登打!$G$16)</f>
        <v/>
      </c>
      <c r="J55" s="10" t="str">
        <f>IF(資料登打!$G$16="","",資料登打!J3)</f>
        <v/>
      </c>
      <c r="K55" s="10" t="str">
        <f>IF(資料登打!$G$16="","",資料登打!K3)</f>
        <v/>
      </c>
      <c r="L55" s="10"/>
      <c r="M55" s="10" t="str">
        <f>IF(資料登打!$G$16="","",資料登打!M3)</f>
        <v/>
      </c>
      <c r="N55" s="10" t="str">
        <f>IF(資料登打!$G$16="","",資料登打!N3)</f>
        <v/>
      </c>
      <c r="O55" s="10"/>
      <c r="P55" s="28"/>
      <c r="Q55" s="28"/>
      <c r="R55" s="28"/>
      <c r="S55" s="28"/>
      <c r="T55" s="28"/>
      <c r="U55" s="28"/>
      <c r="V55" s="28"/>
    </row>
    <row r="56" spans="1:22" x14ac:dyDescent="0.25">
      <c r="A56" t="str">
        <f t="shared" si="10"/>
        <v>0</v>
      </c>
      <c r="B56">
        <f>COUNTIF($C$2:C56,C56)</f>
        <v>0</v>
      </c>
      <c r="D56" t="str">
        <f t="shared" si="0"/>
        <v>51</v>
      </c>
      <c r="E56">
        <f>COUNTIF($F$2:F56,F56)</f>
        <v>51</v>
      </c>
      <c r="F56" t="str">
        <f t="shared" si="1"/>
        <v/>
      </c>
      <c r="G56" t="str">
        <f>IF(資料登打!$G$5="","",資料登打!$G$5)</f>
        <v/>
      </c>
      <c r="H56" s="10">
        <f>IF(資料登打!$G$11&gt;3,4,)</f>
        <v>0</v>
      </c>
      <c r="I56" s="10" t="str">
        <f>IF(資料登打!$G$18="","",資料登打!$G$18)</f>
        <v/>
      </c>
      <c r="J56" s="10" t="str">
        <f>IF(資料登打!$G$18="","",資料登打!J3)</f>
        <v/>
      </c>
      <c r="K56" s="10" t="str">
        <f>IF(資料登打!$G$18="","",資料登打!K3)</f>
        <v/>
      </c>
      <c r="L56" s="10"/>
      <c r="M56" s="10" t="str">
        <f>IF(資料登打!$G$18="","",資料登打!M3)</f>
        <v/>
      </c>
      <c r="N56" s="10" t="str">
        <f>IF(資料登打!$G$18="","",資料登打!N3)</f>
        <v/>
      </c>
      <c r="O56" s="10"/>
      <c r="P56" s="28"/>
      <c r="Q56" s="28"/>
      <c r="R56" s="28"/>
      <c r="S56" s="28"/>
      <c r="T56" s="28"/>
      <c r="U56" s="28"/>
      <c r="V56" s="28"/>
    </row>
    <row r="57" spans="1:22" x14ac:dyDescent="0.25">
      <c r="A57" t="str">
        <f t="shared" si="10"/>
        <v>0</v>
      </c>
      <c r="B57">
        <f>COUNTIF($C$2:C57,C57)</f>
        <v>0</v>
      </c>
      <c r="D57" t="str">
        <f t="shared" si="0"/>
        <v>52</v>
      </c>
      <c r="E57">
        <f>COUNTIF($F$2:F57,F57)</f>
        <v>52</v>
      </c>
      <c r="F57" t="str">
        <f t="shared" si="1"/>
        <v/>
      </c>
      <c r="G57" t="str">
        <f>IF(資料登打!$G$5="","",資料登打!$G$5)</f>
        <v/>
      </c>
      <c r="H57" s="10">
        <f>IF(資料登打!$G$11&gt;4,5,)</f>
        <v>0</v>
      </c>
      <c r="I57" s="10" t="str">
        <f>IF(資料登打!$G$20="","",資料登打!$G$20)</f>
        <v/>
      </c>
      <c r="J57" s="10" t="str">
        <f>IF(資料登打!$G$20="","",資料登打!J3)</f>
        <v/>
      </c>
      <c r="K57" s="10" t="str">
        <f>IF(資料登打!$G$20="","",資料登打!K3)</f>
        <v/>
      </c>
      <c r="L57" s="10"/>
      <c r="M57" s="10" t="str">
        <f>IF(資料登打!$G$20="","",資料登打!M3)</f>
        <v/>
      </c>
      <c r="N57" s="10" t="str">
        <f>IF(資料登打!$G$20="","",資料登打!N3)</f>
        <v/>
      </c>
      <c r="O57" s="10"/>
      <c r="P57" s="28"/>
      <c r="Q57" s="28"/>
      <c r="R57" s="28"/>
      <c r="S57" s="28"/>
      <c r="T57" s="28"/>
      <c r="U57" s="28"/>
      <c r="V57" s="28"/>
    </row>
    <row r="58" spans="1:22" x14ac:dyDescent="0.25">
      <c r="A58" t="str">
        <f t="shared" si="10"/>
        <v>0</v>
      </c>
      <c r="B58">
        <f>COUNTIF($C$2:C58,C58)</f>
        <v>0</v>
      </c>
      <c r="D58" t="str">
        <f t="shared" si="0"/>
        <v>53</v>
      </c>
      <c r="E58">
        <f>COUNTIF($F$2:F58,F58)</f>
        <v>53</v>
      </c>
      <c r="F58" t="str">
        <f t="shared" si="1"/>
        <v/>
      </c>
      <c r="G58" t="str">
        <f>IF(資料登打!$G$5="","",資料登打!$G$5)</f>
        <v/>
      </c>
      <c r="H58" s="10">
        <f>IF(資料登打!$G$11&gt;5,6,)</f>
        <v>0</v>
      </c>
      <c r="I58" s="10" t="str">
        <f>IF(資料登打!$G$22="","",資料登打!$G$22)</f>
        <v/>
      </c>
      <c r="J58" s="10" t="str">
        <f>IF(資料登打!$G$22="","",資料登打!J3)</f>
        <v/>
      </c>
      <c r="K58" s="10" t="str">
        <f>IF(資料登打!$G$22="","",資料登打!K3)</f>
        <v/>
      </c>
      <c r="L58" s="10"/>
      <c r="M58" s="10" t="str">
        <f>IF(資料登打!$G$22="","",資料登打!M3)</f>
        <v/>
      </c>
      <c r="N58" s="10" t="str">
        <f>IF(資料登打!$G$22="","",資料登打!N3)</f>
        <v/>
      </c>
      <c r="O58" s="10"/>
      <c r="P58" s="28"/>
      <c r="Q58" s="28"/>
      <c r="R58" s="28"/>
      <c r="S58" s="28"/>
      <c r="T58" s="28"/>
      <c r="U58" s="28"/>
      <c r="V58" s="28"/>
    </row>
    <row r="59" spans="1:22" x14ac:dyDescent="0.25">
      <c r="A59" t="str">
        <f t="shared" si="10"/>
        <v>0</v>
      </c>
      <c r="B59">
        <f>COUNTIF($C$2:C59,C59)</f>
        <v>0</v>
      </c>
      <c r="D59" t="str">
        <f t="shared" si="0"/>
        <v>54</v>
      </c>
      <c r="E59">
        <f>COUNTIF($F$2:F59,F59)</f>
        <v>54</v>
      </c>
      <c r="F59" t="str">
        <f t="shared" si="1"/>
        <v/>
      </c>
      <c r="G59" t="str">
        <f>IF(資料登打!$G$5="","",資料登打!$G$5)</f>
        <v/>
      </c>
      <c r="H59" s="10">
        <f>IF(資料登打!$G$11&gt;6,7,)</f>
        <v>0</v>
      </c>
      <c r="I59" s="10" t="str">
        <f>IF(資料登打!$G$24="","",資料登打!$G$24)</f>
        <v/>
      </c>
      <c r="J59" s="10" t="str">
        <f>IF(資料登打!$G$24="","",資料登打!J3)</f>
        <v/>
      </c>
      <c r="K59" s="10" t="str">
        <f>IF(資料登打!$G$24="","",資料登打!K3)</f>
        <v/>
      </c>
      <c r="L59" s="10"/>
      <c r="M59" s="10" t="str">
        <f>IF(資料登打!$G$24="","",資料登打!M3)</f>
        <v/>
      </c>
      <c r="N59" s="10" t="str">
        <f>IF(資料登打!$G$24="","",資料登打!N3)</f>
        <v/>
      </c>
      <c r="O59" s="10"/>
      <c r="P59" s="28"/>
      <c r="Q59" s="28"/>
      <c r="R59" s="28"/>
      <c r="S59" s="28"/>
      <c r="T59" s="28"/>
      <c r="U59" s="28"/>
      <c r="V59" s="28"/>
    </row>
    <row r="60" spans="1:22" x14ac:dyDescent="0.25">
      <c r="A60" t="str">
        <f t="shared" si="10"/>
        <v>0</v>
      </c>
      <c r="B60">
        <f>COUNTIF($C$2:C60,C60)</f>
        <v>0</v>
      </c>
      <c r="D60" t="str">
        <f t="shared" si="0"/>
        <v>55</v>
      </c>
      <c r="E60">
        <f>COUNTIF($F$2:F60,F60)</f>
        <v>55</v>
      </c>
      <c r="F60" t="str">
        <f t="shared" si="1"/>
        <v/>
      </c>
      <c r="G60" t="str">
        <f>IF(資料登打!$G$5="","",資料登打!$G$5)</f>
        <v/>
      </c>
      <c r="H60" s="10">
        <f>IF(資料登打!$G$11&gt;7,8,)</f>
        <v>0</v>
      </c>
      <c r="I60" s="10" t="str">
        <f>IF(資料登打!$G$26="","",資料登打!$G$26)</f>
        <v/>
      </c>
      <c r="J60" s="10" t="str">
        <f>IF(資料登打!$G$26="","",資料登打!J3)</f>
        <v/>
      </c>
      <c r="K60" s="10" t="str">
        <f>IF(資料登打!$G$26="","",資料登打!K3)</f>
        <v/>
      </c>
      <c r="L60" s="10"/>
      <c r="M60" s="10" t="str">
        <f>IF(資料登打!$G$26="","",資料登打!M3)</f>
        <v/>
      </c>
      <c r="N60" s="10" t="str">
        <f>IF(資料登打!$G$26="","",資料登打!N3)</f>
        <v/>
      </c>
      <c r="O60" s="10"/>
      <c r="P60" s="28"/>
      <c r="Q60" s="28"/>
      <c r="R60" s="28"/>
      <c r="S60" s="28"/>
      <c r="T60" s="28"/>
      <c r="U60" s="28"/>
      <c r="V60" s="28"/>
    </row>
    <row r="61" spans="1:22" x14ac:dyDescent="0.25">
      <c r="A61" t="str">
        <f t="shared" si="10"/>
        <v>0</v>
      </c>
      <c r="B61">
        <f>COUNTIF($C$2:C61,C61)</f>
        <v>0</v>
      </c>
      <c r="D61" t="str">
        <f t="shared" ref="D61:D72" si="13">CONCATENATE(F61,E61)</f>
        <v>56</v>
      </c>
      <c r="E61">
        <f>COUNTIF($F$2:F61,F61)</f>
        <v>56</v>
      </c>
      <c r="F61" t="str">
        <f t="shared" ref="F61:F72" si="14">IF(I61="","","印")</f>
        <v/>
      </c>
      <c r="G61" t="str">
        <f>IF(資料登打!$G$5="","",資料登打!$G$5)</f>
        <v/>
      </c>
      <c r="H61" s="10">
        <f>IF(資料登打!$G$11&gt;8,9,)</f>
        <v>0</v>
      </c>
      <c r="I61" s="10" t="str">
        <f>IF(資料登打!$G$28="","",資料登打!$G$28)</f>
        <v/>
      </c>
      <c r="J61" s="10" t="str">
        <f>IF(資料登打!$G$28="","",資料登打!J3)</f>
        <v/>
      </c>
      <c r="K61" s="10" t="str">
        <f>IF(資料登打!$G$28="","",資料登打!K3)</f>
        <v/>
      </c>
      <c r="L61" s="10"/>
      <c r="M61" s="10" t="str">
        <f>IF(資料登打!$G$28="","",資料登打!M3)</f>
        <v/>
      </c>
      <c r="N61" s="10" t="str">
        <f>IF(資料登打!$G$28="","",資料登打!N3)</f>
        <v/>
      </c>
      <c r="O61" s="10"/>
      <c r="P61" s="28"/>
      <c r="Q61" s="28"/>
      <c r="R61" s="28"/>
      <c r="S61" s="28"/>
      <c r="T61" s="28"/>
      <c r="U61" s="28"/>
      <c r="V61" s="28"/>
    </row>
    <row r="62" spans="1:22" x14ac:dyDescent="0.25">
      <c r="A62" t="str">
        <f t="shared" si="10"/>
        <v>0</v>
      </c>
      <c r="B62">
        <f>COUNTIF($C$2:C62,C62)</f>
        <v>0</v>
      </c>
      <c r="D62" t="str">
        <f t="shared" si="13"/>
        <v>57</v>
      </c>
      <c r="E62">
        <f>COUNTIF($F$2:F62,F62)</f>
        <v>57</v>
      </c>
      <c r="F62" t="str">
        <f t="shared" si="14"/>
        <v/>
      </c>
      <c r="G62" t="str">
        <f>IF(資料登打!$G$5="","",資料登打!$G$5)</f>
        <v/>
      </c>
      <c r="H62" s="10">
        <f>IF(資料登打!$G$11&gt;9,10,)</f>
        <v>0</v>
      </c>
      <c r="I62" s="10" t="str">
        <f>IF(資料登打!$G$30="","",資料登打!$G$30)</f>
        <v/>
      </c>
      <c r="J62" s="10" t="str">
        <f>IF(資料登打!$G$30="","",資料登打!J3)</f>
        <v/>
      </c>
      <c r="K62" s="10" t="str">
        <f>IF(資料登打!$G$30="","",資料登打!K3)</f>
        <v/>
      </c>
      <c r="L62" s="10"/>
      <c r="M62" s="10" t="str">
        <f>IF(資料登打!$G$30="","",資料登打!M3)</f>
        <v/>
      </c>
      <c r="N62" s="10" t="str">
        <f>IF(資料登打!$G$30="","",資料登打!N3)</f>
        <v/>
      </c>
      <c r="O62" s="10"/>
      <c r="P62" s="28"/>
      <c r="Q62" s="28"/>
      <c r="R62" s="28"/>
      <c r="S62" s="28"/>
      <c r="T62" s="28"/>
      <c r="U62" s="28"/>
      <c r="V62" s="28"/>
    </row>
    <row r="63" spans="1:22" x14ac:dyDescent="0.25">
      <c r="A63" t="str">
        <f t="shared" si="10"/>
        <v>61</v>
      </c>
      <c r="B63">
        <f>COUNTIF($C$2:C63,C63)</f>
        <v>61</v>
      </c>
      <c r="C63" t="str">
        <f t="shared" si="12"/>
        <v/>
      </c>
      <c r="D63" t="str">
        <f t="shared" si="13"/>
        <v>58</v>
      </c>
      <c r="E63">
        <f>COUNTIF($F$2:F63,F63)</f>
        <v>58</v>
      </c>
      <c r="F63" t="str">
        <f t="shared" si="14"/>
        <v/>
      </c>
      <c r="G63" t="str">
        <f>IF(資料登打!$H$5="","",資料登打!$H$5)</f>
        <v/>
      </c>
      <c r="H63" s="10">
        <f>IF(資料登打!$H$11&gt;0,1,)</f>
        <v>0</v>
      </c>
      <c r="I63" s="10" t="str">
        <f>IF(資料登打!$H$12="","",資料登打!$H$12)</f>
        <v/>
      </c>
      <c r="J63" s="10" t="str">
        <f>IF(資料登打!$H$12="","",資料登打!J3)</f>
        <v/>
      </c>
      <c r="K63" s="10" t="str">
        <f>IF(資料登打!$H$12="","",資料登打!K3)</f>
        <v/>
      </c>
      <c r="L63" s="10"/>
      <c r="M63" s="10" t="str">
        <f>IF(資料登打!$H$12="","",資料登打!M3)</f>
        <v/>
      </c>
      <c r="N63" s="10" t="str">
        <f>IF(資料登打!$H$12="","",資料登打!N3)</f>
        <v/>
      </c>
      <c r="O63" s="10"/>
      <c r="P63" s="28">
        <f>資料登打!$H$11</f>
        <v>0</v>
      </c>
      <c r="Q63" s="28">
        <f>資料登打!$H$10</f>
        <v>0</v>
      </c>
      <c r="R63" s="28">
        <f>資料登打!$H$4</f>
        <v>0</v>
      </c>
      <c r="S63" s="28" t="str">
        <f>CONCATENATE(資料登打!H$12,資料登打!H$13,資料登打!H$14,資料登打!H$15,資料登打!$H$16,資料登打!H$17,資料登打!H$18,資料登打!H$19,資料登打!H$20,資料登打!H$21,資料登打!H$22,資料登打!H$23,資料登打!H$24,資料登打!H$25,資料登打!H$26,資料登打!H$27,資料登打!H$28,資料登打!H$29,資料登打!H$30)</f>
        <v/>
      </c>
      <c r="T63" s="28">
        <f>資料登打!$H$6</f>
        <v>0</v>
      </c>
      <c r="U63" s="28">
        <f>資料登打!$H$7</f>
        <v>0</v>
      </c>
      <c r="V63" s="28">
        <f>資料登打!$H$8</f>
        <v>0</v>
      </c>
    </row>
    <row r="64" spans="1:22" x14ac:dyDescent="0.25">
      <c r="A64" t="str">
        <f t="shared" si="10"/>
        <v>0</v>
      </c>
      <c r="B64">
        <f>COUNTIF($C$2:C64,C64)</f>
        <v>0</v>
      </c>
      <c r="D64" t="str">
        <f t="shared" si="13"/>
        <v>59</v>
      </c>
      <c r="E64">
        <f>COUNTIF($F$2:F64,F64)</f>
        <v>59</v>
      </c>
      <c r="F64" t="str">
        <f t="shared" si="14"/>
        <v/>
      </c>
      <c r="G64" t="str">
        <f>IF(資料登打!$H$5="","",資料登打!$H$5)</f>
        <v/>
      </c>
      <c r="H64" s="10">
        <f>IF(資料登打!$H$11&gt;1,2,)</f>
        <v>0</v>
      </c>
      <c r="I64" s="10" t="str">
        <f>IF(資料登打!$H$14="","",資料登打!$H$14)</f>
        <v/>
      </c>
      <c r="J64" s="10" t="str">
        <f>IF(資料登打!$H$14="","",資料登打!J3)</f>
        <v/>
      </c>
      <c r="K64" s="10" t="str">
        <f>IF(資料登打!$H$14="","",資料登打!K3)</f>
        <v/>
      </c>
      <c r="L64" s="10"/>
      <c r="M64" s="10" t="str">
        <f>IF(資料登打!$H$14="","",資料登打!M3)</f>
        <v/>
      </c>
      <c r="N64" s="10" t="str">
        <f>IF(資料登打!$H$14="","",資料登打!N3)</f>
        <v/>
      </c>
      <c r="O64" s="10"/>
      <c r="P64" s="28"/>
      <c r="Q64" s="28"/>
      <c r="R64" s="28"/>
      <c r="S64" s="28"/>
      <c r="T64" s="28"/>
      <c r="U64" s="28"/>
      <c r="V64" s="28"/>
    </row>
    <row r="65" spans="1:22" x14ac:dyDescent="0.25">
      <c r="A65" t="str">
        <f t="shared" si="10"/>
        <v>0</v>
      </c>
      <c r="B65">
        <f>COUNTIF($C$2:C65,C65)</f>
        <v>0</v>
      </c>
      <c r="D65" t="str">
        <f t="shared" si="13"/>
        <v>60</v>
      </c>
      <c r="E65">
        <f>COUNTIF($F$2:F65,F65)</f>
        <v>60</v>
      </c>
      <c r="F65" t="str">
        <f t="shared" si="14"/>
        <v/>
      </c>
      <c r="G65" t="str">
        <f>IF(資料登打!$H$5="","",資料登打!$H$5)</f>
        <v/>
      </c>
      <c r="H65" s="10">
        <f>IF(資料登打!$H$11&gt;2,3,)</f>
        <v>0</v>
      </c>
      <c r="I65" s="10" t="str">
        <f>IF(資料登打!$H$16="","",資料登打!$H$16)</f>
        <v/>
      </c>
      <c r="J65" s="10" t="str">
        <f>IF(資料登打!$H$16="","",資料登打!J3)</f>
        <v/>
      </c>
      <c r="K65" s="10" t="str">
        <f>IF(資料登打!$H$16="","",資料登打!K3)</f>
        <v/>
      </c>
      <c r="L65" s="10"/>
      <c r="M65" s="10" t="str">
        <f>IF(資料登打!$H$16="","",資料登打!M3)</f>
        <v/>
      </c>
      <c r="N65" s="10" t="str">
        <f>IF(資料登打!$H$16="","",資料登打!N3)</f>
        <v/>
      </c>
      <c r="O65" s="10"/>
      <c r="P65" s="28"/>
      <c r="Q65" s="28"/>
      <c r="R65" s="28"/>
      <c r="S65" s="28"/>
      <c r="T65" s="28"/>
      <c r="U65" s="28"/>
      <c r="V65" s="28"/>
    </row>
    <row r="66" spans="1:22" x14ac:dyDescent="0.25">
      <c r="A66" t="str">
        <f t="shared" si="10"/>
        <v>0</v>
      </c>
      <c r="B66">
        <f>COUNTIF($C$2:C66,C66)</f>
        <v>0</v>
      </c>
      <c r="D66" t="str">
        <f t="shared" si="13"/>
        <v>61</v>
      </c>
      <c r="E66">
        <f>COUNTIF($F$2:F66,F66)</f>
        <v>61</v>
      </c>
      <c r="F66" t="str">
        <f t="shared" si="14"/>
        <v/>
      </c>
      <c r="G66" t="str">
        <f>IF(資料登打!$H$5="","",資料登打!$H$5)</f>
        <v/>
      </c>
      <c r="H66" s="10">
        <f>IF(資料登打!$H$11&gt;3,4,)</f>
        <v>0</v>
      </c>
      <c r="I66" s="10" t="str">
        <f>IF(資料登打!$H$18="","",資料登打!$H$18)</f>
        <v/>
      </c>
      <c r="J66" s="10" t="str">
        <f>IF(資料登打!$H$18="","",資料登打!J3)</f>
        <v/>
      </c>
      <c r="K66" s="10" t="str">
        <f>IF(資料登打!$H$18="","",資料登打!K3)</f>
        <v/>
      </c>
      <c r="L66" s="10"/>
      <c r="M66" s="10" t="str">
        <f>IF(資料登打!$H$18="","",資料登打!M3)</f>
        <v/>
      </c>
      <c r="N66" s="10" t="str">
        <f>IF(資料登打!$H$18="","",資料登打!N3)</f>
        <v/>
      </c>
      <c r="O66" s="10"/>
      <c r="P66" s="28"/>
      <c r="Q66" s="28"/>
      <c r="R66" s="28"/>
      <c r="S66" s="28"/>
      <c r="T66" s="28"/>
      <c r="U66" s="28"/>
      <c r="V66" s="28"/>
    </row>
    <row r="67" spans="1:22" x14ac:dyDescent="0.25">
      <c r="A67" t="str">
        <f t="shared" si="10"/>
        <v>0</v>
      </c>
      <c r="B67">
        <f>COUNTIF($C$2:C67,C67)</f>
        <v>0</v>
      </c>
      <c r="D67" t="str">
        <f t="shared" si="13"/>
        <v>62</v>
      </c>
      <c r="E67">
        <f>COUNTIF($F$2:F67,F67)</f>
        <v>62</v>
      </c>
      <c r="F67" t="str">
        <f t="shared" si="14"/>
        <v/>
      </c>
      <c r="G67" t="str">
        <f>IF(資料登打!$H$5="","",資料登打!$H$5)</f>
        <v/>
      </c>
      <c r="H67" s="10">
        <f>IF(資料登打!$H$11&gt;4,5,)</f>
        <v>0</v>
      </c>
      <c r="I67" s="10" t="str">
        <f>IF(資料登打!$H$20="","",資料登打!$H$20)</f>
        <v/>
      </c>
      <c r="J67" s="10" t="str">
        <f>IF(資料登打!$H$20="","",資料登打!J3)</f>
        <v/>
      </c>
      <c r="K67" s="10" t="str">
        <f>IF(資料登打!$H$20="","",資料登打!K3)</f>
        <v/>
      </c>
      <c r="L67" s="10"/>
      <c r="M67" s="10" t="str">
        <f>IF(資料登打!$H$20="","",資料登打!M3)</f>
        <v/>
      </c>
      <c r="N67" s="10" t="str">
        <f>IF(資料登打!$H$20="","",資料登打!N3)</f>
        <v/>
      </c>
      <c r="O67" s="10"/>
      <c r="P67" s="28"/>
      <c r="Q67" s="28"/>
      <c r="R67" s="28"/>
      <c r="S67" s="28"/>
      <c r="T67" s="28"/>
      <c r="U67" s="28"/>
      <c r="V67" s="28"/>
    </row>
    <row r="68" spans="1:22" x14ac:dyDescent="0.25">
      <c r="A68" t="str">
        <f t="shared" ref="A68:A72" si="15">CONCATENATE(C68,B68)</f>
        <v>0</v>
      </c>
      <c r="B68">
        <f>COUNTIF($C$2:C68,C68)</f>
        <v>0</v>
      </c>
      <c r="D68" t="str">
        <f t="shared" si="13"/>
        <v>63</v>
      </c>
      <c r="E68">
        <f>COUNTIF($F$2:F68,F68)</f>
        <v>63</v>
      </c>
      <c r="F68" t="str">
        <f t="shared" si="14"/>
        <v/>
      </c>
      <c r="G68" t="str">
        <f>IF(資料登打!$H$5="","",資料登打!$H$5)</f>
        <v/>
      </c>
      <c r="H68" s="10">
        <f>IF(資料登打!$H$11&gt;5,6,)</f>
        <v>0</v>
      </c>
      <c r="I68" s="10" t="str">
        <f>IF(資料登打!$H$22="","",資料登打!$H$22)</f>
        <v/>
      </c>
      <c r="J68" s="10" t="str">
        <f>IF(資料登打!$H$22="","",資料登打!J3)</f>
        <v/>
      </c>
      <c r="K68" s="10" t="str">
        <f>IF(資料登打!$H$22="","",資料登打!K3)</f>
        <v/>
      </c>
      <c r="L68" s="10"/>
      <c r="M68" s="10" t="str">
        <f>IF(資料登打!$H$22="","",資料登打!M3)</f>
        <v/>
      </c>
      <c r="N68" s="10" t="str">
        <f>IF(資料登打!$H$22="","",資料登打!N3)</f>
        <v/>
      </c>
      <c r="O68" s="10"/>
      <c r="P68" s="28"/>
      <c r="Q68" s="28"/>
      <c r="R68" s="28"/>
      <c r="S68" s="28"/>
      <c r="T68" s="28"/>
      <c r="U68" s="28"/>
      <c r="V68" s="28"/>
    </row>
    <row r="69" spans="1:22" x14ac:dyDescent="0.25">
      <c r="A69" t="str">
        <f t="shared" si="15"/>
        <v>0</v>
      </c>
      <c r="B69">
        <f>COUNTIF($C$2:C69,C69)</f>
        <v>0</v>
      </c>
      <c r="D69" t="str">
        <f t="shared" si="13"/>
        <v>64</v>
      </c>
      <c r="E69">
        <f>COUNTIF($F$2:F69,F69)</f>
        <v>64</v>
      </c>
      <c r="F69" t="str">
        <f t="shared" si="14"/>
        <v/>
      </c>
      <c r="G69" t="str">
        <f>IF(資料登打!$H$5="","",資料登打!$H$5)</f>
        <v/>
      </c>
      <c r="H69" s="10">
        <f>IF(資料登打!$H$11&gt;6,7,)</f>
        <v>0</v>
      </c>
      <c r="I69" s="10" t="str">
        <f>IF(資料登打!$H$24="","",資料登打!$H$24)</f>
        <v/>
      </c>
      <c r="J69" s="10" t="str">
        <f>IF(資料登打!$H$24="","",資料登打!J3)</f>
        <v/>
      </c>
      <c r="K69" s="10" t="str">
        <f>IF(資料登打!$H$24="","",資料登打!K3)</f>
        <v/>
      </c>
      <c r="L69" s="10"/>
      <c r="M69" s="10" t="str">
        <f>IF(資料登打!$H$24="","",資料登打!M3)</f>
        <v/>
      </c>
      <c r="N69" s="10" t="str">
        <f>IF(資料登打!$H$24="","",資料登打!N3)</f>
        <v/>
      </c>
      <c r="O69" s="10"/>
      <c r="P69" s="28"/>
      <c r="Q69" s="28"/>
      <c r="R69" s="28"/>
      <c r="S69" s="28"/>
      <c r="T69" s="28"/>
      <c r="U69" s="28"/>
      <c r="V69" s="28"/>
    </row>
    <row r="70" spans="1:22" x14ac:dyDescent="0.25">
      <c r="A70" t="str">
        <f t="shared" si="15"/>
        <v>0</v>
      </c>
      <c r="B70">
        <f>COUNTIF($C$2:C70,C70)</f>
        <v>0</v>
      </c>
      <c r="D70" t="str">
        <f t="shared" si="13"/>
        <v>65</v>
      </c>
      <c r="E70">
        <f>COUNTIF($F$2:F70,F70)</f>
        <v>65</v>
      </c>
      <c r="F70" t="str">
        <f t="shared" si="14"/>
        <v/>
      </c>
      <c r="G70" t="str">
        <f>IF(資料登打!$H$5="","",資料登打!$H$5)</f>
        <v/>
      </c>
      <c r="H70" s="10">
        <f>IF(資料登打!$H$11&gt;7,8,)</f>
        <v>0</v>
      </c>
      <c r="I70" s="10" t="str">
        <f>IF(資料登打!$H$26="","",資料登打!$H$26)</f>
        <v/>
      </c>
      <c r="J70" s="10" t="str">
        <f>IF(資料登打!$H$26="","",資料登打!J3)</f>
        <v/>
      </c>
      <c r="K70" s="10" t="str">
        <f>IF(資料登打!$H$26="","",資料登打!K3)</f>
        <v/>
      </c>
      <c r="L70" s="10"/>
      <c r="M70" s="10" t="str">
        <f>IF(資料登打!$H$26="","",資料登打!M3)</f>
        <v/>
      </c>
      <c r="N70" s="10" t="str">
        <f>IF(資料登打!$H$26="","",資料登打!N3)</f>
        <v/>
      </c>
      <c r="O70" s="10"/>
      <c r="P70" s="28"/>
      <c r="Q70" s="28"/>
      <c r="R70" s="28"/>
      <c r="S70" s="28"/>
      <c r="T70" s="28"/>
      <c r="U70" s="28"/>
      <c r="V70" s="28"/>
    </row>
    <row r="71" spans="1:22" x14ac:dyDescent="0.25">
      <c r="A71" t="str">
        <f t="shared" si="15"/>
        <v>0</v>
      </c>
      <c r="B71">
        <f>COUNTIF($C$2:C71,C71)</f>
        <v>0</v>
      </c>
      <c r="D71" t="str">
        <f t="shared" si="13"/>
        <v>66</v>
      </c>
      <c r="E71">
        <f>COUNTIF($F$2:F71,F71)</f>
        <v>66</v>
      </c>
      <c r="F71" t="str">
        <f t="shared" si="14"/>
        <v/>
      </c>
      <c r="G71" t="str">
        <f>IF(資料登打!$H$5="","",資料登打!$H$5)</f>
        <v/>
      </c>
      <c r="H71" s="10">
        <f>IF(資料登打!$H$11&gt;8,9,)</f>
        <v>0</v>
      </c>
      <c r="I71" s="10" t="str">
        <f>IF(資料登打!$H$28="","",資料登打!$H$28)</f>
        <v/>
      </c>
      <c r="J71" s="10" t="str">
        <f>IF(資料登打!$H$28="","",資料登打!J3)</f>
        <v/>
      </c>
      <c r="K71" s="10" t="str">
        <f>IF(資料登打!$H$28="","",資料登打!K3)</f>
        <v/>
      </c>
      <c r="L71" s="10"/>
      <c r="M71" s="10" t="str">
        <f>IF(資料登打!$H$28="","",資料登打!M3)</f>
        <v/>
      </c>
      <c r="N71" s="10" t="str">
        <f>IF(資料登打!$H$28="","",資料登打!N3)</f>
        <v/>
      </c>
      <c r="O71" s="10"/>
      <c r="P71" s="28"/>
      <c r="Q71" s="28"/>
      <c r="R71" s="28"/>
      <c r="S71" s="28"/>
      <c r="T71" s="28"/>
      <c r="U71" s="28"/>
      <c r="V71" s="28"/>
    </row>
    <row r="72" spans="1:22" x14ac:dyDescent="0.25">
      <c r="A72" t="str">
        <f t="shared" si="15"/>
        <v>0</v>
      </c>
      <c r="B72">
        <f>COUNTIF($C$2:C72,C72)</f>
        <v>0</v>
      </c>
      <c r="D72" t="str">
        <f t="shared" si="13"/>
        <v>67</v>
      </c>
      <c r="E72">
        <f>COUNTIF($F$2:F72,F72)</f>
        <v>67</v>
      </c>
      <c r="F72" t="str">
        <f t="shared" si="14"/>
        <v/>
      </c>
      <c r="G72" t="str">
        <f>IF(資料登打!$H$5="","",資料登打!$H$5)</f>
        <v/>
      </c>
      <c r="H72" s="10">
        <f>IF(資料登打!$H$11&gt;9,10,)</f>
        <v>0</v>
      </c>
      <c r="I72" s="10" t="str">
        <f>IF(資料登打!$H$30="","",資料登打!$H$30)</f>
        <v/>
      </c>
      <c r="J72" s="10" t="str">
        <f>IF(資料登打!$H$30="","",資料登打!J3)</f>
        <v/>
      </c>
      <c r="K72" s="10" t="str">
        <f>IF(資料登打!$H$30="","",資料登打!K3)</f>
        <v/>
      </c>
      <c r="L72" s="10"/>
      <c r="M72" s="10" t="str">
        <f>IF(資料登打!$H$30="","",資料登打!M3)</f>
        <v/>
      </c>
      <c r="N72" s="10" t="str">
        <f>IF(資料登打!$H$30="","",資料登打!N3)</f>
        <v/>
      </c>
      <c r="O72" s="10"/>
      <c r="P72" s="28"/>
      <c r="Q72" s="28"/>
      <c r="R72" s="28"/>
      <c r="S72" s="28"/>
      <c r="T72" s="28"/>
      <c r="U72" s="28"/>
      <c r="V72" s="28"/>
    </row>
  </sheetData>
  <sheetProtection selectLockedCells="1"/>
  <mergeCells count="1">
    <mergeCell ref="Y1:AH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zoomScaleNormal="100" workbookViewId="0">
      <selection sqref="A1:XFD1048576"/>
    </sheetView>
  </sheetViews>
  <sheetFormatPr defaultRowHeight="16.5" x14ac:dyDescent="0.25"/>
  <cols>
    <col min="1" max="1" width="7.875" customWidth="1"/>
    <col min="2" max="2" width="10.625" customWidth="1"/>
    <col min="3" max="3" width="3.125" customWidth="1"/>
    <col min="4" max="4" width="2.875" customWidth="1"/>
    <col min="5" max="5" width="2.625" customWidth="1"/>
    <col min="6" max="6" width="3.5" customWidth="1"/>
    <col min="7" max="7" width="2.875" customWidth="1"/>
    <col min="8" max="8" width="3" customWidth="1"/>
    <col min="10" max="10" width="4.5" customWidth="1"/>
    <col min="11" max="11" width="5.875" customWidth="1"/>
    <col min="13" max="13" width="13.625" customWidth="1"/>
    <col min="16" max="16" width="9.5" bestFit="1" customWidth="1"/>
  </cols>
  <sheetData>
    <row r="1" spans="1:22" ht="21" x14ac:dyDescent="0.25">
      <c r="A1" s="61" t="s">
        <v>52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22" x14ac:dyDescent="0.25">
      <c r="C2" s="59" t="str">
        <f>CONCATENATE("教 職 員 工 ",資料登打!B2,"月","加 班 費 印 領 清 冊 ")</f>
        <v xml:space="preserve">教 職 員 工 3月加 班 費 印 領 清 冊 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22" ht="30" customHeight="1" x14ac:dyDescent="0.25">
      <c r="A3" s="8" t="str">
        <f>CONCATENATE("所屬年度:",資料登打!B1)</f>
        <v>所屬年度:107</v>
      </c>
      <c r="B3" s="8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2" ht="24.95" customHeight="1" x14ac:dyDescent="0.25">
      <c r="A4" s="58" t="s">
        <v>46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22" ht="30" customHeight="1" x14ac:dyDescent="0.25">
      <c r="A5" s="43" t="s">
        <v>45</v>
      </c>
      <c r="B5" s="43"/>
      <c r="C5" s="43" t="s">
        <v>44</v>
      </c>
      <c r="D5" s="43"/>
      <c r="E5" s="43"/>
      <c r="F5" s="43"/>
      <c r="G5" s="43"/>
      <c r="H5" s="43"/>
      <c r="I5" s="10" t="s">
        <v>36</v>
      </c>
      <c r="J5" s="43" t="s">
        <v>40</v>
      </c>
      <c r="K5" s="43"/>
      <c r="L5" s="43"/>
      <c r="M5" s="43"/>
      <c r="N5" s="43"/>
    </row>
    <row r="6" spans="1:22" ht="30" customHeight="1" x14ac:dyDescent="0.25">
      <c r="A6" s="43"/>
      <c r="B6" s="43"/>
      <c r="C6" s="10" t="s">
        <v>31</v>
      </c>
      <c r="D6" s="10" t="s">
        <v>32</v>
      </c>
      <c r="E6" s="10" t="s">
        <v>33</v>
      </c>
      <c r="F6" s="10" t="s">
        <v>34</v>
      </c>
      <c r="G6" s="10" t="s">
        <v>31</v>
      </c>
      <c r="H6" s="10" t="s">
        <v>35</v>
      </c>
      <c r="I6" s="10" t="s">
        <v>37</v>
      </c>
      <c r="J6" s="43" t="s">
        <v>39</v>
      </c>
      <c r="K6" s="43"/>
      <c r="L6" s="43"/>
      <c r="M6" s="43"/>
      <c r="N6" s="43"/>
    </row>
    <row r="7" spans="1:22" ht="30" customHeight="1" x14ac:dyDescent="0.25">
      <c r="A7" s="43"/>
      <c r="B7" s="43"/>
      <c r="C7" s="57">
        <f>Q14</f>
        <v>0</v>
      </c>
      <c r="D7" s="57">
        <f t="shared" ref="D7:H7" si="0">R14</f>
        <v>0</v>
      </c>
      <c r="E7" s="57">
        <f t="shared" si="0"/>
        <v>0</v>
      </c>
      <c r="F7" s="57">
        <f t="shared" si="0"/>
        <v>0</v>
      </c>
      <c r="G7" s="57">
        <f t="shared" si="0"/>
        <v>0</v>
      </c>
      <c r="H7" s="57" t="str">
        <f t="shared" si="0"/>
        <v>0</v>
      </c>
      <c r="I7" s="43" t="s">
        <v>38</v>
      </c>
      <c r="J7" s="43" t="str">
        <f>資料登打!J1</f>
        <v>第八節輔導課巡堂及交通指揮</v>
      </c>
      <c r="K7" s="43"/>
      <c r="L7" s="43"/>
      <c r="M7" s="43"/>
      <c r="N7" s="43"/>
      <c r="P7" s="9"/>
    </row>
    <row r="8" spans="1:22" ht="30" customHeight="1" x14ac:dyDescent="0.25">
      <c r="A8" s="43"/>
      <c r="B8" s="43"/>
      <c r="C8" s="57"/>
      <c r="D8" s="57"/>
      <c r="E8" s="57"/>
      <c r="F8" s="57"/>
      <c r="G8" s="57"/>
      <c r="H8" s="57"/>
      <c r="I8" s="43"/>
      <c r="J8" s="43"/>
      <c r="K8" s="43"/>
      <c r="L8" s="43"/>
      <c r="M8" s="43"/>
      <c r="N8" s="43"/>
    </row>
    <row r="9" spans="1:22" ht="33" customHeight="1" x14ac:dyDescent="0.25">
      <c r="A9" s="15" t="s">
        <v>1</v>
      </c>
      <c r="B9" s="15" t="s">
        <v>3</v>
      </c>
      <c r="C9" s="29" t="s">
        <v>41</v>
      </c>
      <c r="D9" s="29"/>
      <c r="E9" s="29"/>
      <c r="F9" s="29"/>
      <c r="G9" s="29"/>
      <c r="H9" s="32" t="s">
        <v>63</v>
      </c>
      <c r="I9" s="33"/>
      <c r="J9" s="26" t="s">
        <v>26</v>
      </c>
      <c r="K9" s="26" t="s">
        <v>27</v>
      </c>
      <c r="L9" s="15" t="s">
        <v>28</v>
      </c>
      <c r="M9" s="15" t="s">
        <v>29</v>
      </c>
      <c r="N9" s="15" t="s">
        <v>30</v>
      </c>
    </row>
    <row r="10" spans="1:22" ht="45" customHeight="1" x14ac:dyDescent="0.25">
      <c r="A10" s="34" t="str">
        <f>IF(資料登打!$I$31&gt;0,VLOOKUP(簽到簿!$X$3,印2,18,FALSE),"")</f>
        <v>主任</v>
      </c>
      <c r="B10" s="34" t="str">
        <f>IF(資料登打!$I$31&gt;0,VLOOKUP(簽到簿!$X$3,印2,7,FALSE),"")</f>
        <v/>
      </c>
      <c r="C10" s="53" t="str">
        <f>IF(資料登打!$I$31&gt;0,VLOOKUP(簽到簿!$X$3,印2,19,FALSE),"")</f>
        <v>6,13,20,27</v>
      </c>
      <c r="D10" s="54"/>
      <c r="E10" s="54"/>
      <c r="F10" s="54"/>
      <c r="G10" s="55"/>
      <c r="H10" s="52" t="str">
        <f>IF(B10="","",加班請示單!$E$4)</f>
        <v/>
      </c>
      <c r="I10" s="52"/>
      <c r="J10" s="34">
        <f>IF(資料登打!$I$31&gt;0,VLOOKUP(簽到簿!$X$3,印2,16,FALSE),"")</f>
        <v>4</v>
      </c>
      <c r="K10" s="34">
        <f>IF(資料登打!$I$31&gt;0,VLOOKUP(簽到簿!$X$3,印2,17,FALSE),"")</f>
        <v>0</v>
      </c>
      <c r="L10" s="34">
        <f>IF(資料登打!$I$31&gt;0,J10*K10,)</f>
        <v>0</v>
      </c>
      <c r="M10" s="18"/>
      <c r="N10" s="18"/>
    </row>
    <row r="11" spans="1:22" ht="45" customHeight="1" x14ac:dyDescent="0.25">
      <c r="A11" s="34" t="str">
        <f>IF(資料登打!$I$31&gt;1,VLOOKUP(簽到簿!$X$4,印2,18,FALSE),"")</f>
        <v/>
      </c>
      <c r="B11" s="34" t="str">
        <f>IF(資料登打!$I$31&gt;1,VLOOKUP(簽到簿!$X$4,印2,7,FALSE),"")</f>
        <v/>
      </c>
      <c r="C11" s="53" t="str">
        <f>IF(資料登打!$I$31&gt;1,VLOOKUP(簽到簿!$X$4,印2,19,FALSE),"")</f>
        <v/>
      </c>
      <c r="D11" s="54"/>
      <c r="E11" s="54"/>
      <c r="F11" s="54"/>
      <c r="G11" s="55"/>
      <c r="H11" s="52" t="str">
        <f>IF(B11="","",加班請示單!$E$4)</f>
        <v/>
      </c>
      <c r="I11" s="52"/>
      <c r="J11" s="34" t="str">
        <f>IF(資料登打!$I$31&gt;1,VLOOKUP(簽到簿!$X$4,印2,16,FALSE),"")</f>
        <v/>
      </c>
      <c r="K11" s="34" t="str">
        <f>IF(資料登打!$I$31&gt;1,VLOOKUP(簽到簿!$X$4,印2,17,FALSE),"")</f>
        <v/>
      </c>
      <c r="L11" s="34">
        <f>IF(資料登打!$I$31&gt;1,J11*K11,)</f>
        <v>0</v>
      </c>
      <c r="M11" s="18"/>
      <c r="N11" s="18"/>
      <c r="P11" s="6">
        <f>L17</f>
        <v>0</v>
      </c>
      <c r="Q11">
        <f>LEN(P11)</f>
        <v>1</v>
      </c>
    </row>
    <row r="12" spans="1:22" ht="45" customHeight="1" x14ac:dyDescent="0.25">
      <c r="A12" s="34" t="str">
        <f>IF(資料登打!$I$31&gt;2,VLOOKUP(簽到簿!$X$5,印2,18,FALSE),"")</f>
        <v/>
      </c>
      <c r="B12" s="34" t="str">
        <f>IF(資料登打!$I$31&gt;2,VLOOKUP(簽到簿!$X$5,印2,7,FALSE),"")</f>
        <v/>
      </c>
      <c r="C12" s="53" t="str">
        <f>IF(資料登打!$I$31&gt;2,VLOOKUP(簽到簿!$X$5,印2,19,FALSE),"")</f>
        <v/>
      </c>
      <c r="D12" s="54"/>
      <c r="E12" s="54"/>
      <c r="F12" s="54"/>
      <c r="G12" s="55"/>
      <c r="H12" s="52" t="str">
        <f>IF(B12="","",加班請示單!$E$4)</f>
        <v/>
      </c>
      <c r="I12" s="52"/>
      <c r="J12" s="34" t="str">
        <f>IF(資料登打!$I$31&gt;2,VLOOKUP(簽到簿!$X$5,印2,16,FALSE),"")</f>
        <v/>
      </c>
      <c r="K12" s="34" t="str">
        <f>IF(資料登打!$I$31&gt;2,VLOOKUP(簽到簿!$X$5,印2,17,FALSE),"")</f>
        <v/>
      </c>
      <c r="L12" s="34">
        <f>IF(資料登打!$I$31&gt;2,J12*K12,)</f>
        <v>0</v>
      </c>
      <c r="M12" s="18"/>
      <c r="N12" s="18"/>
    </row>
    <row r="13" spans="1:22" ht="45" customHeight="1" x14ac:dyDescent="0.25">
      <c r="A13" s="34" t="str">
        <f>IF(資料登打!$I$31&gt;3,VLOOKUP(簽到簿!$X$6,印2,18,FALSE),"")</f>
        <v/>
      </c>
      <c r="B13" s="34" t="str">
        <f>IF(資料登打!$I$31&gt;3,VLOOKUP(簽到簿!$X$6,印2,7,FALSE),"")</f>
        <v/>
      </c>
      <c r="C13" s="53" t="str">
        <f>IF(資料登打!$I$31&gt;3,VLOOKUP(簽到簿!$X$6,印2,19,FALSE),"")</f>
        <v/>
      </c>
      <c r="D13" s="54"/>
      <c r="E13" s="54"/>
      <c r="F13" s="54"/>
      <c r="G13" s="55"/>
      <c r="H13" s="52" t="str">
        <f>IF(B13="","",加班請示單!$E$4)</f>
        <v/>
      </c>
      <c r="I13" s="52"/>
      <c r="J13" s="34" t="str">
        <f>IF(資料登打!$I$31&gt;3,VLOOKUP(簽到簿!$X$6,印2,16,FALSE),"")</f>
        <v/>
      </c>
      <c r="K13" s="34" t="str">
        <f>IF(資料登打!$I$31&gt;3,VLOOKUP(簽到簿!$X$6,印2,17,FALSE),"")</f>
        <v/>
      </c>
      <c r="L13" s="34">
        <f>IF(資料登打!$I$31&gt;3,J13*K13,)</f>
        <v>0</v>
      </c>
      <c r="M13" s="18"/>
      <c r="N13" s="18"/>
      <c r="Q13" t="s">
        <v>31</v>
      </c>
      <c r="R13" t="s">
        <v>32</v>
      </c>
      <c r="S13" t="s">
        <v>33</v>
      </c>
      <c r="T13" t="s">
        <v>34</v>
      </c>
      <c r="U13" t="s">
        <v>31</v>
      </c>
      <c r="V13" t="s">
        <v>35</v>
      </c>
    </row>
    <row r="14" spans="1:22" ht="45" customHeight="1" x14ac:dyDescent="0.25">
      <c r="A14" s="34" t="str">
        <f>IF(資料登打!$I$31&gt;4,VLOOKUP(簽到簿!$X$7,印2,18,FALSE),"")</f>
        <v/>
      </c>
      <c r="B14" s="34" t="str">
        <f>IF(資料登打!$I$31&gt;4,VLOOKUP(簽到簿!$X$7,印2,7,FALSE),"")</f>
        <v/>
      </c>
      <c r="C14" s="53" t="str">
        <f>IF(資料登打!$I$31&gt;4,VLOOKUP(簽到簿!$X$7,印2,19,FALSE),"")</f>
        <v/>
      </c>
      <c r="D14" s="54"/>
      <c r="E14" s="54"/>
      <c r="F14" s="54"/>
      <c r="G14" s="55"/>
      <c r="H14" s="52" t="str">
        <f>IF(B14="","",加班請示單!$E$4)</f>
        <v/>
      </c>
      <c r="I14" s="52"/>
      <c r="J14" s="34" t="str">
        <f>IF(資料登打!$I$31&gt;4,VLOOKUP(簽到簿!$X$7,印2,16,FALSE),"")</f>
        <v/>
      </c>
      <c r="K14" s="34" t="str">
        <f>IF(資料登打!$I$31&gt;4,VLOOKUP(簽到簿!$X$7,印2,17,FALSE),"")</f>
        <v/>
      </c>
      <c r="L14" s="34">
        <f>IF(資料登打!$I$31&gt;4,J14*K14,)</f>
        <v>0</v>
      </c>
      <c r="M14" s="18"/>
      <c r="N14" s="18"/>
      <c r="Q14" s="7">
        <f>IF($Q$11&gt;5,Q15,)</f>
        <v>0</v>
      </c>
      <c r="R14" s="7">
        <f>IF($Q$11&gt;4,R15,)</f>
        <v>0</v>
      </c>
      <c r="S14" s="7">
        <f>IF($Q$11&gt;3,S15,)</f>
        <v>0</v>
      </c>
      <c r="T14" s="7">
        <f>IF($Q$11&gt;2,T15,)</f>
        <v>0</v>
      </c>
      <c r="U14" s="7">
        <f>IF($Q$11&gt;1,U15,)</f>
        <v>0</v>
      </c>
      <c r="V14" s="7" t="str">
        <f>IF($Q$11&gt;0,V15,)</f>
        <v>0</v>
      </c>
    </row>
    <row r="15" spans="1:22" ht="45" customHeight="1" x14ac:dyDescent="0.25">
      <c r="A15" s="34" t="str">
        <f>IF(資料登打!$I$31&gt;5,VLOOKUP(簽到簿!$X$8,印2,18,FALSE),"")</f>
        <v/>
      </c>
      <c r="B15" s="34" t="str">
        <f>IF(資料登打!$I$31&gt;5,VLOOKUP(簽到簿!$X$8,印2,7,FALSE),"")</f>
        <v/>
      </c>
      <c r="C15" s="53" t="str">
        <f>IF(資料登打!$I$31&gt;5,VLOOKUP(簽到簿!$X$8,印2,19,FALSE),"")</f>
        <v/>
      </c>
      <c r="D15" s="54"/>
      <c r="E15" s="54"/>
      <c r="F15" s="54"/>
      <c r="G15" s="55"/>
      <c r="H15" s="52" t="str">
        <f>IF(B15="","",加班請示單!$E$4)</f>
        <v/>
      </c>
      <c r="I15" s="52"/>
      <c r="J15" s="34" t="str">
        <f>IF(資料登打!$I$31&gt;5,VLOOKUP(簽到簿!$X$8,印2,16,FALSE),"")</f>
        <v/>
      </c>
      <c r="K15" s="34" t="str">
        <f>IF(資料登打!$I$31&gt;5,VLOOKUP(簽到簿!$X$8,印2,17,FALSE),"")</f>
        <v/>
      </c>
      <c r="L15" s="34">
        <f>IF(資料登打!$I$31&gt;5,J15*K15,)</f>
        <v>0</v>
      </c>
      <c r="M15" s="18"/>
      <c r="N15" s="18"/>
      <c r="Q15" t="str">
        <f>LEFTB(Q16,1)</f>
        <v>0</v>
      </c>
      <c r="R15" t="str">
        <f>LEFTB(R16,1)</f>
        <v>0</v>
      </c>
      <c r="S15" t="str">
        <f>LEFTB(S16,1)</f>
        <v>0</v>
      </c>
      <c r="T15" t="str">
        <f>LEFTB(T16,1)</f>
        <v>0</v>
      </c>
      <c r="U15" t="str">
        <f>LEFTB(U16,1)</f>
        <v>0</v>
      </c>
      <c r="V15" t="str">
        <f>RIGHT(P11,1)</f>
        <v>0</v>
      </c>
    </row>
    <row r="16" spans="1:22" ht="45" customHeight="1" x14ac:dyDescent="0.25">
      <c r="A16" s="34" t="str">
        <f>IF(資料登打!$I$31&gt;6,VLOOKUP(簽到簿!$X$9,印2,18,FALSE),"")</f>
        <v/>
      </c>
      <c r="B16" s="34" t="str">
        <f>IF(資料登打!$I$31&gt;6,VLOOKUP(簽到簿!$X$9,印2,7,FALSE),"")</f>
        <v/>
      </c>
      <c r="C16" s="53" t="str">
        <f>IF(資料登打!$I$31&gt;6,VLOOKUP(簽到簿!$X$9,印2,19,FALSE),"")</f>
        <v/>
      </c>
      <c r="D16" s="54"/>
      <c r="E16" s="54"/>
      <c r="F16" s="54"/>
      <c r="G16" s="55"/>
      <c r="H16" s="52" t="str">
        <f>IF(B16="","",加班請示單!$E$4)</f>
        <v/>
      </c>
      <c r="I16" s="52"/>
      <c r="J16" s="34" t="str">
        <f>IF(資料登打!$I$31&gt;6,VLOOKUP(簽到簿!$X$9,印2,16,FALSE),"")</f>
        <v/>
      </c>
      <c r="K16" s="34" t="str">
        <f>IF(資料登打!$I$31&gt;6,VLOOKUP(簽到簿!$X$9,印2,17,FALSE),"")</f>
        <v/>
      </c>
      <c r="L16" s="34">
        <f>IF(資料登打!$I$31&gt;6,J16*K16,)</f>
        <v>0</v>
      </c>
      <c r="M16" s="18"/>
      <c r="N16" s="18"/>
      <c r="Q16" t="str">
        <f>RIGHTB($P$11,6)</f>
        <v>0</v>
      </c>
      <c r="R16" t="str">
        <f>RIGHTB($P$11,5)</f>
        <v>0</v>
      </c>
      <c r="S16" t="str">
        <f>RIGHTB($P$11,4)</f>
        <v>0</v>
      </c>
      <c r="T16" t="str">
        <f>RIGHTB($P$11,3)</f>
        <v>0</v>
      </c>
      <c r="U16" t="str">
        <f>RIGHTB($P$11,2)</f>
        <v>0</v>
      </c>
    </row>
    <row r="17" spans="1:14" ht="30" customHeight="1" x14ac:dyDescent="0.25">
      <c r="A17" s="56" t="s">
        <v>42</v>
      </c>
      <c r="B17" s="56"/>
      <c r="C17" s="43"/>
      <c r="D17" s="43"/>
      <c r="E17" s="43"/>
      <c r="F17" s="43"/>
      <c r="G17" s="43"/>
      <c r="H17" s="43"/>
      <c r="I17" s="43"/>
      <c r="J17" s="43"/>
      <c r="K17" s="43"/>
      <c r="L17" s="11">
        <f>SUM(L10:L16)</f>
        <v>0</v>
      </c>
      <c r="M17" s="10"/>
      <c r="N17" s="10"/>
    </row>
    <row r="18" spans="1:14" x14ac:dyDescent="0.25">
      <c r="A18" s="5"/>
    </row>
    <row r="19" spans="1:14" x14ac:dyDescent="0.25">
      <c r="A19" t="s">
        <v>47</v>
      </c>
      <c r="C19" t="s">
        <v>48</v>
      </c>
      <c r="I19" t="s">
        <v>49</v>
      </c>
      <c r="L19" t="s">
        <v>50</v>
      </c>
      <c r="N19" t="s">
        <v>51</v>
      </c>
    </row>
  </sheetData>
  <sheetProtection sheet="1" selectLockedCells="1"/>
  <mergeCells count="33">
    <mergeCell ref="A4:N4"/>
    <mergeCell ref="C2:N3"/>
    <mergeCell ref="A1:N1"/>
    <mergeCell ref="H7:H8"/>
    <mergeCell ref="C5:H5"/>
    <mergeCell ref="A5:B8"/>
    <mergeCell ref="J5:N5"/>
    <mergeCell ref="J6:N6"/>
    <mergeCell ref="J7:N8"/>
    <mergeCell ref="I7:I8"/>
    <mergeCell ref="A17:B17"/>
    <mergeCell ref="C17:G17"/>
    <mergeCell ref="H17:I17"/>
    <mergeCell ref="J17:K17"/>
    <mergeCell ref="C7:C8"/>
    <mergeCell ref="D7:D8"/>
    <mergeCell ref="E7:E8"/>
    <mergeCell ref="F7:F8"/>
    <mergeCell ref="G7:G8"/>
    <mergeCell ref="H15:I15"/>
    <mergeCell ref="H16:I16"/>
    <mergeCell ref="C10:G10"/>
    <mergeCell ref="C11:G11"/>
    <mergeCell ref="C12:G12"/>
    <mergeCell ref="C13:G13"/>
    <mergeCell ref="C14:G14"/>
    <mergeCell ref="H10:I10"/>
    <mergeCell ref="C15:G15"/>
    <mergeCell ref="C16:G16"/>
    <mergeCell ref="H14:I14"/>
    <mergeCell ref="H11:I11"/>
    <mergeCell ref="H12:I12"/>
    <mergeCell ref="H13:I13"/>
  </mergeCells>
  <phoneticPr fontId="1" type="noConversion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3</vt:i4>
      </vt:variant>
    </vt:vector>
  </HeadingPairs>
  <TitlesOfParts>
    <vt:vector size="7" baseType="lpstr">
      <vt:lpstr>資料登打</vt:lpstr>
      <vt:lpstr>加班請示單</vt:lpstr>
      <vt:lpstr>簽到簿</vt:lpstr>
      <vt:lpstr>加班費印領清冊</vt:lpstr>
      <vt:lpstr>加班費印領清冊!Print_Area</vt:lpstr>
      <vt:lpstr>印1</vt:lpstr>
      <vt:lpstr>印2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2018-04-03T03:29:01Z</cp:lastPrinted>
  <dcterms:created xsi:type="dcterms:W3CDTF">2018-01-23T00:14:53Z</dcterms:created>
  <dcterms:modified xsi:type="dcterms:W3CDTF">2018-04-03T03:44:50Z</dcterms:modified>
</cp:coreProperties>
</file>