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225" windowHeight="8355" activeTab="0"/>
  </bookViews>
  <sheets>
    <sheet name="試算區" sheetId="1" r:id="rId1"/>
  </sheets>
  <definedNames>
    <definedName name="_xlnm.Print_Area" localSheetId="0">'試算區'!$A$1:$AN$70</definedName>
  </definedNames>
  <calcPr fullCalcOnLoad="1"/>
</workbook>
</file>

<file path=xl/sharedStrings.xml><?xml version="1.0" encoding="utf-8"?>
<sst xmlns="http://schemas.openxmlformats.org/spreadsheetml/2006/main" count="218" uniqueCount="161">
  <si>
    <t>年齡</t>
  </si>
  <si>
    <t>年</t>
  </si>
  <si>
    <t>月</t>
  </si>
  <si>
    <t>日</t>
  </si>
  <si>
    <t>年資</t>
  </si>
  <si>
    <t>合計</t>
  </si>
  <si>
    <t>月份</t>
  </si>
  <si>
    <t>答案</t>
  </si>
  <si>
    <t>完整</t>
  </si>
  <si>
    <t>指標差0</t>
  </si>
  <si>
    <t>指標差+1</t>
  </si>
  <si>
    <t>差0之退休日</t>
  </si>
  <si>
    <t>差0生效月</t>
  </si>
  <si>
    <t>公 務人員</t>
  </si>
  <si>
    <t>但書</t>
  </si>
  <si>
    <t>中斷不計退休之年資：</t>
  </si>
  <si>
    <t>年</t>
  </si>
  <si>
    <t>月</t>
  </si>
  <si>
    <t>日</t>
  </si>
  <si>
    <t>屆齡無月退</t>
  </si>
  <si>
    <t>屆齡有月退</t>
  </si>
  <si>
    <t>結果用語</t>
  </si>
  <si>
    <t>民國</t>
  </si>
  <si>
    <t>到職日之前一日</t>
  </si>
  <si>
    <t>出生日期：</t>
  </si>
  <si>
    <t>初任日期：</t>
  </si>
  <si>
    <t>年</t>
  </si>
  <si>
    <t>月</t>
  </si>
  <si>
    <t>日</t>
  </si>
  <si>
    <t>（如有多段年資，請填合計數）</t>
  </si>
  <si>
    <t>曾任可併計退休年資：</t>
  </si>
  <si>
    <t>年</t>
  </si>
  <si>
    <t>月</t>
  </si>
  <si>
    <t>日</t>
  </si>
  <si>
    <t>（如有多段年資，請填合計數）</t>
  </si>
  <si>
    <t>初任之日</t>
  </si>
  <si>
    <t>初任之月次</t>
  </si>
  <si>
    <t>基準年</t>
  </si>
  <si>
    <t>當年足年生日日期</t>
  </si>
  <si>
    <t>生日月日</t>
  </si>
  <si>
    <t>當年足年初任日期</t>
  </si>
  <si>
    <t>初任月日</t>
  </si>
  <si>
    <t>生日及初任相比較
在先者</t>
  </si>
  <si>
    <t>生日及初任相比較
在後者</t>
  </si>
  <si>
    <t>條件是否成就</t>
  </si>
  <si>
    <t>條件成就類型</t>
  </si>
  <si>
    <t>成就時之指標數差</t>
  </si>
  <si>
    <t>序
號</t>
  </si>
  <si>
    <t>到職日</t>
  </si>
  <si>
    <t>離職日</t>
  </si>
  <si>
    <t>年資計算基準</t>
  </si>
  <si>
    <t>指標</t>
  </si>
  <si>
    <t>65&amp;15</t>
  </si>
  <si>
    <t>A用語</t>
  </si>
  <si>
    <t>B用語</t>
  </si>
  <si>
    <t>C用語</t>
  </si>
  <si>
    <t>合併</t>
  </si>
  <si>
    <t>年齡計算基準</t>
  </si>
  <si>
    <t>轉任西元</t>
  </si>
  <si>
    <t>年資初計</t>
  </si>
  <si>
    <t>年資增減結果</t>
  </si>
  <si>
    <t>差+1生效月</t>
  </si>
  <si>
    <t>差+1之退休日</t>
  </si>
  <si>
    <t>指標差+2以上</t>
  </si>
  <si>
    <t>差+2生效月</t>
  </si>
  <si>
    <t>差+2之退休日</t>
  </si>
  <si>
    <t>55退休日</t>
  </si>
  <si>
    <t>60退休日</t>
  </si>
  <si>
    <t>65退休日</t>
  </si>
  <si>
    <t>綜合</t>
  </si>
  <si>
    <t>"+1對應月份"</t>
  </si>
  <si>
    <t>屆齡年度</t>
  </si>
  <si>
    <t>首次符合年度</t>
  </si>
  <si>
    <t>小計</t>
  </si>
  <si>
    <t>　簡易年資計算器</t>
  </si>
  <si>
    <t>高中以下教師</t>
  </si>
  <si>
    <t>高中以下教師但書</t>
  </si>
  <si>
    <t>＆</t>
  </si>
  <si>
    <t>■</t>
  </si>
  <si>
    <t>85退休日</t>
  </si>
  <si>
    <t>55生效日</t>
  </si>
  <si>
    <t>60生效日</t>
  </si>
  <si>
    <t>85生效日</t>
  </si>
  <si>
    <t>65生效日</t>
  </si>
  <si>
    <t>高中以下教師各條件成就後之可以最早退休日期</t>
  </si>
  <si>
    <r>
      <t>公務人員</t>
    </r>
    <r>
      <rPr>
        <sz val="10"/>
        <color indexed="8"/>
        <rFont val="新細明體"/>
        <family val="1"/>
      </rPr>
      <t>各條件成就後之可以最早退休日期</t>
    </r>
  </si>
  <si>
    <r>
      <t>年資加總結果</t>
    </r>
    <r>
      <rPr>
        <sz val="10"/>
        <rFont val="新細明體"/>
        <family val="1"/>
      </rPr>
      <t xml:space="preserve">
</t>
    </r>
    <r>
      <rPr>
        <sz val="11"/>
        <color indexed="20"/>
        <rFont val="新細明體"/>
        <family val="1"/>
      </rPr>
      <t>（請依時間先後輸入各段年資）</t>
    </r>
  </si>
  <si>
    <t>年度區間</t>
  </si>
  <si>
    <t>當年
法定
指標數</t>
  </si>
  <si>
    <t>當年實際指標數</t>
  </si>
  <si>
    <t>預審(1)</t>
  </si>
  <si>
    <t>預審(2)</t>
  </si>
  <si>
    <t>提前退休
申請月日</t>
  </si>
  <si>
    <t>展期1生效日期</t>
  </si>
  <si>
    <t>展期2生效日期</t>
  </si>
  <si>
    <t>減額生效日期</t>
  </si>
  <si>
    <t>生日</t>
  </si>
  <si>
    <t>初任</t>
  </si>
  <si>
    <t>生日日期</t>
  </si>
  <si>
    <t>初任日期</t>
  </si>
  <si>
    <t>在前者</t>
  </si>
  <si>
    <t>在後者</t>
  </si>
  <si>
    <t>★★</t>
  </si>
  <si>
    <t>減額</t>
  </si>
  <si>
    <t>全額月退休金：</t>
  </si>
  <si>
    <t>公務人員</t>
  </si>
  <si>
    <t>【程式設計：審計部臺北市審計處人事室 高明賢 kau0914@ms23.hinet.net】</t>
  </si>
  <si>
    <t>最低
退休
年齡</t>
  </si>
  <si>
    <t>60&amp;25,55&amp;30</t>
  </si>
  <si>
    <r>
      <t xml:space="preserve">符合可擇領全額月退休金之起始年度
</t>
    </r>
    <r>
      <rPr>
        <sz val="10"/>
        <color indexed="10"/>
        <rFont val="新細明體"/>
        <family val="1"/>
      </rPr>
      <t>（請注意上方黃色區塊之【分析結果】說明）</t>
    </r>
  </si>
  <si>
    <t>展期</t>
  </si>
  <si>
    <t>減額</t>
  </si>
  <si>
    <t>展期</t>
  </si>
  <si>
    <t>人員類別：</t>
  </si>
  <si>
    <t>生日與初任較前者</t>
  </si>
  <si>
    <t>生日與初任較後者</t>
  </si>
  <si>
    <t>當年年齡</t>
  </si>
  <si>
    <t>當年年資</t>
  </si>
  <si>
    <t xml:space="preserve"> 初任</t>
  </si>
  <si>
    <t>生 日</t>
  </si>
  <si>
    <t>55歲
再領</t>
  </si>
  <si>
    <t>60歲
再領</t>
  </si>
  <si>
    <t>65歲
再領</t>
  </si>
  <si>
    <t>全額月退日期</t>
  </si>
  <si>
    <t>可提前退休日期</t>
  </si>
  <si>
    <t>初判符合年度</t>
  </si>
  <si>
    <t>符合之年度是否大於基本年資及年齡</t>
  </si>
  <si>
    <t>綜合上二者後判斷</t>
  </si>
  <si>
    <t>減額附註</t>
  </si>
  <si>
    <t>年資增減後推算
虛擬初任日期</t>
  </si>
  <si>
    <t>最早
50歲</t>
  </si>
  <si>
    <t>最早
55歲</t>
  </si>
  <si>
    <t>最早
60歲</t>
  </si>
  <si>
    <t>展期無50歲限制</t>
  </si>
  <si>
    <t>展期有50歲限制</t>
  </si>
  <si>
    <r>
      <rPr>
        <b/>
        <sz val="11"/>
        <color indexed="12"/>
        <rFont val="新細明體"/>
        <family val="1"/>
      </rPr>
      <t>如不滿意上述日期</t>
    </r>
    <r>
      <rPr>
        <sz val="10"/>
        <color indexed="12"/>
        <rFont val="新細明體"/>
        <family val="1"/>
      </rPr>
      <t>，您亦可選擇申請</t>
    </r>
    <r>
      <rPr>
        <b/>
        <sz val="11"/>
        <color indexed="12"/>
        <rFont val="新細明體"/>
        <family val="1"/>
      </rPr>
      <t>提前退休</t>
    </r>
    <r>
      <rPr>
        <sz val="10"/>
        <color indexed="12"/>
        <rFont val="新細明體"/>
        <family val="1"/>
      </rPr>
      <t>，並依下列規定領取月退休金</t>
    </r>
    <r>
      <rPr>
        <b/>
        <sz val="11"/>
        <color indexed="12"/>
        <rFont val="新細明體"/>
        <family val="1"/>
      </rPr>
      <t>（僅能擇一適用，請對照下表）</t>
    </r>
    <r>
      <rPr>
        <sz val="10"/>
        <color indexed="12"/>
        <rFont val="新細明體"/>
        <family val="1"/>
      </rPr>
      <t>：</t>
    </r>
  </si>
  <si>
    <t>61歲
再領</t>
  </si>
  <si>
    <t>62歲
再領</t>
  </si>
  <si>
    <t>63歲
再領</t>
  </si>
  <si>
    <t>64歲
再領</t>
  </si>
  <si>
    <t>最早
56歲</t>
  </si>
  <si>
    <t>最早
57歲</t>
  </si>
  <si>
    <t>最早
58歲</t>
  </si>
  <si>
    <t>最早
59歲</t>
  </si>
  <si>
    <t>展期</t>
  </si>
  <si>
    <t>減額</t>
  </si>
  <si>
    <t>符合的最早日期</t>
  </si>
  <si>
    <t>符合的最早日期轉換</t>
  </si>
  <si>
    <t>展期月退休金：</t>
  </si>
  <si>
    <t>減額月退休金：</t>
  </si>
  <si>
    <r>
      <t>減額年金</t>
    </r>
    <r>
      <rPr>
        <sz val="9"/>
        <color indexed="12"/>
        <rFont val="新細明體"/>
        <family val="1"/>
      </rPr>
      <t>(先退即領，最多僅能提前</t>
    </r>
    <r>
      <rPr>
        <sz val="9"/>
        <color indexed="12"/>
        <rFont val="新細明體"/>
        <family val="1"/>
      </rPr>
      <t>5</t>
    </r>
    <r>
      <rPr>
        <sz val="9"/>
        <color indexed="12"/>
        <rFont val="新細明體"/>
        <family val="1"/>
      </rPr>
      <t>年)</t>
    </r>
  </si>
  <si>
    <r>
      <t>展期年金</t>
    </r>
    <r>
      <rPr>
        <sz val="9"/>
        <color indexed="12"/>
        <rFont val="新細明體"/>
        <family val="1"/>
      </rPr>
      <t>(先退後領，年資必須至少</t>
    </r>
    <r>
      <rPr>
        <sz val="9"/>
        <color indexed="12"/>
        <rFont val="新細明體"/>
        <family val="1"/>
      </rPr>
      <t>25</t>
    </r>
    <r>
      <rPr>
        <sz val="9"/>
        <color indexed="12"/>
        <rFont val="新細明體"/>
        <family val="1"/>
      </rPr>
      <t>年)</t>
    </r>
  </si>
  <si>
    <t>註：起支年齡：109年以前，年資25年以上為60歲、年資30年以上為55歲；110年起為60歲，爾後逐年加1歲，至115年以後均為65歲（年資均至少25年）。</t>
  </si>
  <si>
    <t>法定年齡</t>
  </si>
  <si>
    <t>法定+15</t>
  </si>
  <si>
    <t>D用語</t>
  </si>
  <si>
    <t>日期轉換</t>
  </si>
  <si>
    <t>註：起支年齡：109年以前，年資25年以上為60歲、年資30年以上為55歲；110年起為60歲，爾後逐年加1歲，至115年以後均為65歲（年資均至少25年）。</t>
  </si>
  <si>
    <t>當年
起支
年齡</t>
  </si>
  <si>
    <t>生日</t>
  </si>
  <si>
    <r>
      <t>　107年年金改革</t>
    </r>
    <r>
      <rPr>
        <b/>
        <sz val="13"/>
        <color indexed="13"/>
        <rFont val="新細明體"/>
        <family val="1"/>
      </rPr>
      <t>公務人員</t>
    </r>
    <r>
      <rPr>
        <b/>
        <sz val="13"/>
        <color indexed="9"/>
        <rFont val="新細明體"/>
        <family val="1"/>
      </rPr>
      <t>得擇領月退休金起始年度分析程式（107.8.29 版）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</si>
</sst>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yyyy/m/d;@"/>
    <numFmt numFmtId="182" formatCode="0.00_ "/>
    <numFmt numFmtId="183" formatCode="[$-404]AM/PM\ hh:mm:ss"/>
    <numFmt numFmtId="184" formatCode="m&quot;月&quot;d&quot;日&quot;"/>
    <numFmt numFmtId="185" formatCode="yyyy&quot;年&quot;mm&quot;月&quot;dd&quot;日&quot;"/>
    <numFmt numFmtId="186" formatCode="0.00_);[Red]\(0.00\)"/>
  </numFmts>
  <fonts count="11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61"/>
      <name val="新細明體"/>
      <family val="1"/>
    </font>
    <font>
      <sz val="9"/>
      <color indexed="20"/>
      <name val="新細明體"/>
      <family val="1"/>
    </font>
    <font>
      <sz val="10"/>
      <color indexed="20"/>
      <name val="新細明體"/>
      <family val="1"/>
    </font>
    <font>
      <b/>
      <sz val="10"/>
      <color indexed="8"/>
      <name val="新細明體"/>
      <family val="1"/>
    </font>
    <font>
      <sz val="10"/>
      <color indexed="12"/>
      <name val="新細明體"/>
      <family val="1"/>
    </font>
    <font>
      <sz val="9"/>
      <color indexed="54"/>
      <name val="新細明體"/>
      <family val="1"/>
    </font>
    <font>
      <sz val="12"/>
      <color indexed="14"/>
      <name val="新細明體"/>
      <family val="1"/>
    </font>
    <font>
      <sz val="10"/>
      <color indexed="17"/>
      <name val="新細明體"/>
      <family val="1"/>
    </font>
    <font>
      <sz val="10"/>
      <color indexed="9"/>
      <name val="新細明體"/>
      <family val="1"/>
    </font>
    <font>
      <b/>
      <sz val="11"/>
      <color indexed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17"/>
      <name val="新細明體"/>
      <family val="1"/>
    </font>
    <font>
      <b/>
      <sz val="10"/>
      <color indexed="9"/>
      <name val="新細明體"/>
      <family val="1"/>
    </font>
    <font>
      <sz val="10"/>
      <color indexed="51"/>
      <name val="新細明體"/>
      <family val="1"/>
    </font>
    <font>
      <sz val="10"/>
      <name val="新細明體"/>
      <family val="1"/>
    </font>
    <font>
      <sz val="11"/>
      <color indexed="20"/>
      <name val="新細明體"/>
      <family val="1"/>
    </font>
    <font>
      <sz val="12"/>
      <color indexed="12"/>
      <name val="新細明體"/>
      <family val="1"/>
    </font>
    <font>
      <b/>
      <sz val="12"/>
      <color indexed="10"/>
      <name val="新細明體"/>
      <family val="1"/>
    </font>
    <font>
      <sz val="9"/>
      <color indexed="8"/>
      <name val="新細明體"/>
      <family val="1"/>
    </font>
    <font>
      <b/>
      <sz val="10"/>
      <color indexed="12"/>
      <name val="新細明體"/>
      <family val="1"/>
    </font>
    <font>
      <sz val="9"/>
      <color indexed="45"/>
      <name val="新細明體"/>
      <family val="1"/>
    </font>
    <font>
      <sz val="9"/>
      <color indexed="10"/>
      <name val="新細明體"/>
      <family val="1"/>
    </font>
    <font>
      <b/>
      <sz val="11"/>
      <color indexed="17"/>
      <name val="新細明體"/>
      <family val="1"/>
    </font>
    <font>
      <b/>
      <sz val="10"/>
      <color indexed="43"/>
      <name val="新細明體"/>
      <family val="1"/>
    </font>
    <font>
      <sz val="9"/>
      <color indexed="12"/>
      <name val="新細明體"/>
      <family val="1"/>
    </font>
    <font>
      <b/>
      <sz val="18"/>
      <color indexed="42"/>
      <name val="標楷體"/>
      <family val="4"/>
    </font>
    <font>
      <sz val="10"/>
      <color indexed="13"/>
      <name val="新細明體"/>
      <family val="1"/>
    </font>
    <font>
      <b/>
      <sz val="10"/>
      <color indexed="17"/>
      <name val="新細明體"/>
      <family val="1"/>
    </font>
    <font>
      <sz val="14"/>
      <color indexed="12"/>
      <name val="標楷體"/>
      <family val="4"/>
    </font>
    <font>
      <b/>
      <sz val="13"/>
      <color indexed="9"/>
      <name val="新細明體"/>
      <family val="1"/>
    </font>
    <font>
      <b/>
      <sz val="13"/>
      <color indexed="8"/>
      <name val="新細明體"/>
      <family val="1"/>
    </font>
    <font>
      <b/>
      <sz val="10"/>
      <color indexed="20"/>
      <name val="新細明體"/>
      <family val="1"/>
    </font>
    <font>
      <sz val="10"/>
      <color indexed="45"/>
      <name val="新細明體"/>
      <family val="1"/>
    </font>
    <font>
      <sz val="11"/>
      <color indexed="12"/>
      <name val="新細明體"/>
      <family val="1"/>
    </font>
    <font>
      <sz val="11"/>
      <color indexed="10"/>
      <name val="新細明體"/>
      <family val="1"/>
    </font>
    <font>
      <b/>
      <sz val="10"/>
      <color indexed="10"/>
      <name val="新細明體"/>
      <family val="1"/>
    </font>
    <font>
      <sz val="10"/>
      <color indexed="14"/>
      <name val="新細明體"/>
      <family val="1"/>
    </font>
    <font>
      <b/>
      <sz val="13"/>
      <color indexed="13"/>
      <name val="新細明體"/>
      <family val="1"/>
    </font>
    <font>
      <sz val="8"/>
      <color indexed="8"/>
      <name val="新細明體"/>
      <family val="1"/>
    </font>
    <font>
      <sz val="10"/>
      <color indexed="42"/>
      <name val="新細明體"/>
      <family val="1"/>
    </font>
    <font>
      <sz val="6"/>
      <color indexed="8"/>
      <name val="新細明體"/>
      <family val="1"/>
    </font>
    <font>
      <b/>
      <sz val="11"/>
      <color indexed="8"/>
      <name val="新細明體"/>
      <family val="1"/>
    </font>
    <font>
      <b/>
      <sz val="11"/>
      <color indexed="12"/>
      <name val="新細明體"/>
      <family val="1"/>
    </font>
    <font>
      <sz val="9"/>
      <color indexed="17"/>
      <name val="新細明體"/>
      <family val="1"/>
    </font>
    <font>
      <sz val="12"/>
      <color indexed="60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8"/>
      <color indexed="10"/>
      <name val="新細明體"/>
      <family val="1"/>
    </font>
    <font>
      <sz val="8"/>
      <color indexed="30"/>
      <name val="新細明體"/>
      <family val="1"/>
    </font>
    <font>
      <sz val="10"/>
      <color indexed="30"/>
      <name val="新細明體"/>
      <family val="1"/>
    </font>
    <font>
      <sz val="7"/>
      <color indexed="8"/>
      <name val="新細明體"/>
      <family val="1"/>
    </font>
    <font>
      <sz val="7"/>
      <color indexed="30"/>
      <name val="新細明體"/>
      <family val="1"/>
    </font>
    <font>
      <sz val="7"/>
      <color indexed="10"/>
      <name val="新細明體"/>
      <family val="1"/>
    </font>
    <font>
      <sz val="10"/>
      <color indexed="55"/>
      <name val="新細明體"/>
      <family val="1"/>
    </font>
    <font>
      <sz val="12"/>
      <color indexed="55"/>
      <name val="新細明體"/>
      <family val="1"/>
    </font>
    <font>
      <sz val="10"/>
      <color indexed="25"/>
      <name val="新細明體"/>
      <family val="1"/>
    </font>
    <font>
      <b/>
      <sz val="12"/>
      <color indexed="54"/>
      <name val="新細明體"/>
      <family val="1"/>
    </font>
    <font>
      <sz val="12"/>
      <color indexed="13"/>
      <name val="新細明體"/>
      <family val="1"/>
    </font>
    <font>
      <sz val="10"/>
      <color indexed="8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FF00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rgb="FFFF0000"/>
      <name val="新細明體"/>
      <family val="1"/>
    </font>
    <font>
      <sz val="8"/>
      <color rgb="FF0070C0"/>
      <name val="新細明體"/>
      <family val="1"/>
    </font>
    <font>
      <sz val="10"/>
      <color rgb="FF0070C0"/>
      <name val="新細明體"/>
      <family val="1"/>
    </font>
    <font>
      <b/>
      <sz val="10"/>
      <color rgb="FF008000"/>
      <name val="新細明體"/>
      <family val="1"/>
    </font>
    <font>
      <b/>
      <sz val="10"/>
      <color theme="0"/>
      <name val="新細明體"/>
      <family val="1"/>
    </font>
    <font>
      <sz val="10"/>
      <color rgb="FFFF0000"/>
      <name val="新細明體"/>
      <family val="1"/>
    </font>
    <font>
      <sz val="9"/>
      <color theme="1"/>
      <name val="Calibri"/>
      <family val="1"/>
    </font>
    <font>
      <sz val="9"/>
      <color theme="1"/>
      <name val="新細明體"/>
      <family val="1"/>
    </font>
    <font>
      <sz val="7"/>
      <color theme="1"/>
      <name val="新細明體"/>
      <family val="1"/>
    </font>
    <font>
      <sz val="7"/>
      <color rgb="FF0070C0"/>
      <name val="新細明體"/>
      <family val="1"/>
    </font>
    <font>
      <sz val="7"/>
      <color rgb="FFFF0000"/>
      <name val="新細明體"/>
      <family val="1"/>
    </font>
    <font>
      <sz val="10"/>
      <color theme="1"/>
      <name val="Calibri"/>
      <family val="1"/>
    </font>
    <font>
      <sz val="8"/>
      <color theme="1"/>
      <name val="Calibri"/>
      <family val="1"/>
    </font>
    <font>
      <sz val="10"/>
      <color theme="0" tint="-0.3499799966812134"/>
      <name val="新細明體"/>
      <family val="1"/>
    </font>
    <font>
      <sz val="12"/>
      <color theme="0" tint="-0.3499799966812134"/>
      <name val="Calibri"/>
      <family val="1"/>
    </font>
    <font>
      <sz val="10"/>
      <color rgb="FFFF00FF"/>
      <name val="新細明體"/>
      <family val="1"/>
    </font>
    <font>
      <sz val="12"/>
      <color rgb="FFFF00FF"/>
      <name val="Calibri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ck">
        <color indexed="47"/>
      </top>
      <bottom style="thick">
        <color indexed="47"/>
      </bottom>
    </border>
    <border>
      <left>
        <color indexed="63"/>
      </left>
      <right style="thick">
        <color indexed="47"/>
      </right>
      <top style="thick">
        <color indexed="47"/>
      </top>
      <bottom style="thick">
        <color indexed="47"/>
      </bottom>
    </border>
    <border>
      <left style="double"/>
      <right style="dotted"/>
      <top>
        <color indexed="63"/>
      </top>
      <bottom style="thin"/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n"/>
      <top style="thin"/>
      <bottom style="thick"/>
    </border>
    <border>
      <left style="double"/>
      <right style="dashed"/>
      <top style="thin"/>
      <bottom style="thick"/>
    </border>
    <border>
      <left style="dashed"/>
      <right style="dashed"/>
      <top style="thin"/>
      <bottom style="thick"/>
    </border>
    <border>
      <left style="dashed"/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>
        <color indexed="47"/>
      </left>
      <right>
        <color indexed="63"/>
      </right>
      <top style="thick">
        <color indexed="47"/>
      </top>
      <bottom style="thick">
        <color indexed="47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42"/>
      </bottom>
    </border>
    <border>
      <left style="thick">
        <color indexed="17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ck"/>
      <bottom style="thin"/>
    </border>
    <border>
      <left style="double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 style="thick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double"/>
      <top style="thick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>
        <color indexed="42"/>
      </left>
      <right style="thick">
        <color indexed="17"/>
      </right>
      <top style="thick">
        <color rgb="FFCCECFF"/>
      </top>
      <bottom style="thick">
        <color indexed="42"/>
      </bottom>
    </border>
    <border>
      <left>
        <color indexed="63"/>
      </left>
      <right style="thick">
        <color rgb="FFCCECFF"/>
      </right>
      <top>
        <color indexed="63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double"/>
      <right style="dotted"/>
      <top style="thick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thick"/>
    </border>
    <border>
      <left style="dashed"/>
      <right style="thick"/>
      <top>
        <color indexed="63"/>
      </top>
      <bottom style="thin"/>
    </border>
    <border>
      <left style="double"/>
      <right style="dashed"/>
      <top>
        <color indexed="63"/>
      </top>
      <bottom style="thick"/>
    </border>
    <border>
      <left style="dashed"/>
      <right style="dashed"/>
      <top>
        <color indexed="63"/>
      </top>
      <bottom style="thick"/>
    </border>
    <border>
      <left style="dashed"/>
      <right style="thick"/>
      <top>
        <color indexed="63"/>
      </top>
      <bottom style="thick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tted"/>
      <top style="medium"/>
      <bottom style="thin"/>
    </border>
    <border>
      <left style="double"/>
      <right style="dotted"/>
      <top style="thin"/>
      <bottom style="double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>
        <color indexed="47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>
        <color rgb="FFCCECFF"/>
      </left>
      <right>
        <color indexed="63"/>
      </right>
      <top style="thick">
        <color rgb="FFCCECFF"/>
      </top>
      <bottom>
        <color indexed="63"/>
      </bottom>
    </border>
    <border>
      <left>
        <color indexed="63"/>
      </left>
      <right>
        <color indexed="63"/>
      </right>
      <top style="thick">
        <color rgb="FFCCECFF"/>
      </top>
      <bottom>
        <color indexed="63"/>
      </bottom>
    </border>
    <border>
      <left>
        <color indexed="63"/>
      </left>
      <right style="thick">
        <color rgb="FFCCECFF"/>
      </right>
      <top style="thick">
        <color rgb="FFCCECFF"/>
      </top>
      <bottom>
        <color indexed="63"/>
      </bottom>
    </border>
    <border>
      <left style="thick">
        <color rgb="FFCCECFF"/>
      </left>
      <right>
        <color indexed="63"/>
      </right>
      <top>
        <color indexed="63"/>
      </top>
      <bottom style="thick">
        <color rgb="FFCCECFF"/>
      </bottom>
    </border>
    <border>
      <left>
        <color indexed="63"/>
      </left>
      <right>
        <color indexed="63"/>
      </right>
      <top>
        <color indexed="63"/>
      </top>
      <bottom style="thick">
        <color rgb="FFCCECFF"/>
      </bottom>
    </border>
    <border>
      <left>
        <color indexed="63"/>
      </left>
      <right style="thick">
        <color rgb="FFCCECFF"/>
      </right>
      <top>
        <color indexed="63"/>
      </top>
      <bottom style="thick">
        <color rgb="FFCCECFF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>
        <color indexed="47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 style="dotted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0" borderId="1" applyNumberFormat="0" applyFill="0" applyAlignment="0" applyProtection="0"/>
    <xf numFmtId="0" fontId="83" fillId="21" borderId="0" applyNumberFormat="0" applyBorder="0" applyAlignment="0" applyProtection="0"/>
    <xf numFmtId="9" fontId="1" fillId="0" borderId="0" applyFont="0" applyFill="0" applyBorder="0" applyAlignment="0" applyProtection="0"/>
    <xf numFmtId="0" fontId="8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0" borderId="3" applyNumberFormat="0" applyFill="0" applyAlignment="0" applyProtection="0"/>
    <xf numFmtId="0" fontId="1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2" applyNumberFormat="0" applyAlignment="0" applyProtection="0"/>
    <xf numFmtId="0" fontId="92" fillId="22" borderId="8" applyNumberFormat="0" applyAlignment="0" applyProtection="0"/>
    <xf numFmtId="0" fontId="93" fillId="31" borderId="9" applyNumberFormat="0" applyAlignment="0" applyProtection="0"/>
    <xf numFmtId="0" fontId="94" fillId="32" borderId="0" applyNumberFormat="0" applyBorder="0" applyAlignment="0" applyProtection="0"/>
    <xf numFmtId="0" fontId="95" fillId="0" borderId="0" applyNumberFormat="0" applyFill="0" applyBorder="0" applyAlignment="0" applyProtection="0"/>
  </cellStyleXfs>
  <cellXfs count="618"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 wrapText="1" shrinkToFit="1"/>
      <protection hidden="1"/>
    </xf>
    <xf numFmtId="0" fontId="1" fillId="0" borderId="0" xfId="0" applyFont="1" applyAlignment="1" applyProtection="1">
      <alignment vertical="center" wrapText="1" shrinkToFit="1"/>
      <protection hidden="1"/>
    </xf>
    <xf numFmtId="0" fontId="15" fillId="34" borderId="0" xfId="0" applyFont="1" applyFill="1" applyAlignment="1" applyProtection="1">
      <alignment horizontal="center" vertical="center" wrapText="1"/>
      <protection hidden="1"/>
    </xf>
    <xf numFmtId="0" fontId="8" fillId="34" borderId="0" xfId="0" applyFont="1" applyFill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16" fillId="34" borderId="0" xfId="45" applyFont="1" applyFill="1" applyAlignment="1" applyProtection="1">
      <alignment horizontal="center" vertical="center"/>
      <protection hidden="1"/>
    </xf>
    <xf numFmtId="0" fontId="16" fillId="34" borderId="0" xfId="45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 shrinkToFit="1"/>
      <protection hidden="1"/>
    </xf>
    <xf numFmtId="0" fontId="19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Alignment="1" applyProtection="1">
      <alignment horizontal="center" vertical="center" wrapText="1"/>
      <protection hidden="1"/>
    </xf>
    <xf numFmtId="0" fontId="8" fillId="35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 wrapText="1"/>
      <protection hidden="1"/>
    </xf>
    <xf numFmtId="0" fontId="8" fillId="33" borderId="0" xfId="0" applyFont="1" applyFill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9" fillId="36" borderId="0" xfId="0" applyFont="1" applyFill="1" applyBorder="1" applyAlignment="1" applyProtection="1">
      <alignment horizontal="center" vertical="center" wrapText="1"/>
      <protection hidden="1"/>
    </xf>
    <xf numFmtId="0" fontId="8" fillId="36" borderId="0" xfId="0" applyFont="1" applyFill="1" applyAlignment="1" applyProtection="1">
      <alignment horizontal="center" vertical="center" wrapText="1"/>
      <protection hidden="1"/>
    </xf>
    <xf numFmtId="0" fontId="8" fillId="36" borderId="0" xfId="0" applyFont="1" applyFill="1" applyAlignment="1" applyProtection="1">
      <alignment vertical="center" wrapText="1"/>
      <protection hidden="1"/>
    </xf>
    <xf numFmtId="0" fontId="8" fillId="36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 shrinkToFit="1"/>
      <protection hidden="1"/>
    </xf>
    <xf numFmtId="0" fontId="14" fillId="36" borderId="10" xfId="45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37" borderId="11" xfId="0" applyFont="1" applyFill="1" applyBorder="1" applyAlignment="1" applyProtection="1">
      <alignment vertical="center" wrapText="1"/>
      <protection hidden="1"/>
    </xf>
    <xf numFmtId="0" fontId="8" fillId="37" borderId="12" xfId="0" applyFont="1" applyFill="1" applyBorder="1" applyAlignment="1" applyProtection="1">
      <alignment vertical="center" wrapText="1"/>
      <protection hidden="1"/>
    </xf>
    <xf numFmtId="0" fontId="23" fillId="36" borderId="0" xfId="0" applyFont="1" applyFill="1" applyAlignment="1" applyProtection="1">
      <alignment horizontal="center" vertical="center" wrapText="1"/>
      <protection hidden="1"/>
    </xf>
    <xf numFmtId="0" fontId="24" fillId="36" borderId="0" xfId="0" applyFont="1" applyFill="1" applyAlignment="1" applyProtection="1">
      <alignment horizontal="center" vertical="center" wrapText="1"/>
      <protection hidden="1"/>
    </xf>
    <xf numFmtId="0" fontId="2" fillId="36" borderId="0" xfId="0" applyFont="1" applyFill="1" applyAlignment="1" applyProtection="1">
      <alignment vertical="center"/>
      <protection hidden="1"/>
    </xf>
    <xf numFmtId="0" fontId="24" fillId="36" borderId="0" xfId="0" applyFont="1" applyFill="1" applyAlignment="1" applyProtection="1">
      <alignment vertical="center" wrapText="1"/>
      <protection hidden="1"/>
    </xf>
    <xf numFmtId="0" fontId="23" fillId="36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38" borderId="0" xfId="0" applyFont="1" applyFill="1" applyAlignment="1" applyProtection="1">
      <alignment horizontal="center" vertical="center" wrapText="1" shrinkToFit="1"/>
      <protection hidden="1"/>
    </xf>
    <xf numFmtId="0" fontId="20" fillId="36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20" fillId="33" borderId="0" xfId="0" applyFont="1" applyFill="1" applyAlignment="1" applyProtection="1">
      <alignment vertical="center" wrapText="1"/>
      <protection hidden="1"/>
    </xf>
    <xf numFmtId="0" fontId="20" fillId="33" borderId="0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9" fillId="36" borderId="0" xfId="0" applyFont="1" applyFill="1" applyAlignment="1" applyProtection="1">
      <alignment vertical="center" wrapText="1"/>
      <protection hidden="1"/>
    </xf>
    <xf numFmtId="0" fontId="8" fillId="37" borderId="11" xfId="0" applyFont="1" applyFill="1" applyBorder="1" applyAlignment="1" applyProtection="1">
      <alignment horizontal="center" vertical="center" wrapText="1"/>
      <protection hidden="1"/>
    </xf>
    <xf numFmtId="0" fontId="8" fillId="37" borderId="12" xfId="0" applyFont="1" applyFill="1" applyBorder="1" applyAlignment="1" applyProtection="1">
      <alignment horizontal="center" vertical="center" wrapText="1"/>
      <protection hidden="1"/>
    </xf>
    <xf numFmtId="0" fontId="19" fillId="36" borderId="0" xfId="0" applyFont="1" applyFill="1" applyBorder="1" applyAlignment="1" applyProtection="1">
      <alignment horizontal="center" vertical="center"/>
      <protection hidden="1"/>
    </xf>
    <xf numFmtId="0" fontId="19" fillId="36" borderId="0" xfId="0" applyNumberFormat="1" applyFont="1" applyFill="1" applyBorder="1" applyAlignment="1" applyProtection="1">
      <alignment horizontal="center" vertical="center"/>
      <protection hidden="1"/>
    </xf>
    <xf numFmtId="0" fontId="6" fillId="36" borderId="0" xfId="0" applyFont="1" applyFill="1" applyBorder="1" applyAlignment="1" applyProtection="1">
      <alignment vertical="center" shrinkToFit="1"/>
      <protection hidden="1"/>
    </xf>
    <xf numFmtId="0" fontId="20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1" fillId="33" borderId="0" xfId="0" applyFont="1" applyFill="1" applyAlignment="1" applyProtection="1">
      <alignment horizontal="center" vertical="center" shrinkToFit="1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horizontal="center" vertical="center"/>
      <protection hidden="1"/>
    </xf>
    <xf numFmtId="0" fontId="8" fillId="39" borderId="0" xfId="0" applyFont="1" applyFill="1" applyAlignment="1" applyProtection="1">
      <alignment vertical="center" wrapText="1" shrinkToFit="1"/>
      <protection hidden="1"/>
    </xf>
    <xf numFmtId="0" fontId="8" fillId="40" borderId="0" xfId="0" applyFont="1" applyFill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8" fillId="41" borderId="0" xfId="0" applyFont="1" applyFill="1" applyAlignment="1" applyProtection="1">
      <alignment vertical="center" wrapText="1" shrinkToFi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6" borderId="0" xfId="0" applyFont="1" applyFill="1" applyBorder="1" applyAlignment="1" applyProtection="1">
      <alignment vertical="center"/>
      <protection hidden="1"/>
    </xf>
    <xf numFmtId="9" fontId="8" fillId="0" borderId="0" xfId="0" applyNumberFormat="1" applyFont="1" applyAlignment="1" applyProtection="1">
      <alignment horizontal="center"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8" fillId="0" borderId="0" xfId="0" applyFont="1" applyAlignment="1">
      <alignment horizontal="center" vertical="center" wrapText="1" shrinkToFit="1"/>
    </xf>
    <xf numFmtId="0" fontId="8" fillId="42" borderId="0" xfId="0" applyFont="1" applyFill="1" applyAlignment="1" applyProtection="1">
      <alignment horizontal="center" vertical="center" wrapText="1" shrinkToFit="1"/>
      <protection hidden="1"/>
    </xf>
    <xf numFmtId="0" fontId="8" fillId="42" borderId="0" xfId="0" applyFont="1" applyFill="1" applyAlignment="1">
      <alignment horizontal="center" vertical="center" wrapText="1" shrinkToFit="1"/>
    </xf>
    <xf numFmtId="0" fontId="8" fillId="40" borderId="0" xfId="0" applyFont="1" applyFill="1" applyAlignment="1" applyProtection="1">
      <alignment horizontal="center" vertical="center" wrapText="1" shrinkToFit="1"/>
      <protection hidden="1"/>
    </xf>
    <xf numFmtId="0" fontId="8" fillId="40" borderId="0" xfId="0" applyFont="1" applyFill="1" applyAlignment="1">
      <alignment horizontal="center" vertical="center" wrapText="1" shrinkToFit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9" fillId="36" borderId="0" xfId="0" applyFont="1" applyFill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9" fillId="33" borderId="0" xfId="0" applyFont="1" applyFill="1" applyAlignment="1" applyProtection="1">
      <alignment vertical="center" wrapText="1"/>
      <protection hidden="1"/>
    </xf>
    <xf numFmtId="0" fontId="19" fillId="33" borderId="0" xfId="0" applyFont="1" applyFill="1" applyAlignment="1" applyProtection="1">
      <alignment horizontal="center" vertical="center" wrapText="1"/>
      <protection hidden="1"/>
    </xf>
    <xf numFmtId="0" fontId="19" fillId="33" borderId="0" xfId="0" applyFont="1" applyFill="1" applyBorder="1" applyAlignment="1" applyProtection="1">
      <alignment horizontal="center" vertical="center" wrapText="1"/>
      <protection hidden="1"/>
    </xf>
    <xf numFmtId="0" fontId="19" fillId="33" borderId="0" xfId="0" applyFont="1" applyFill="1" applyBorder="1" applyAlignment="1" applyProtection="1">
      <alignment vertical="center" wrapText="1"/>
      <protection hidden="1"/>
    </xf>
    <xf numFmtId="0" fontId="22" fillId="33" borderId="0" xfId="0" applyFont="1" applyFill="1" applyBorder="1" applyAlignment="1" applyProtection="1">
      <alignment/>
      <protection hidden="1"/>
    </xf>
    <xf numFmtId="0" fontId="8" fillId="42" borderId="0" xfId="0" applyFont="1" applyFill="1" applyAlignment="1">
      <alignment horizontal="center" vertical="center"/>
    </xf>
    <xf numFmtId="0" fontId="8" fillId="42" borderId="0" xfId="0" applyFont="1" applyFill="1" applyAlignment="1" applyProtection="1">
      <alignment horizontal="center" vertical="center"/>
      <protection hidden="1"/>
    </xf>
    <xf numFmtId="0" fontId="8" fillId="40" borderId="0" xfId="0" applyFont="1" applyFill="1" applyAlignment="1" applyProtection="1">
      <alignment horizontal="center" vertical="center"/>
      <protection hidden="1"/>
    </xf>
    <xf numFmtId="0" fontId="8" fillId="36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39" borderId="0" xfId="0" applyFont="1" applyFill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horizontal="center" vertical="center" wrapText="1" shrinkToFit="1"/>
      <protection hidden="1"/>
    </xf>
    <xf numFmtId="0" fontId="1" fillId="42" borderId="0" xfId="0" applyFont="1" applyFill="1" applyAlignment="1" applyProtection="1">
      <alignment vertical="center" wrapText="1" shrinkToFit="1"/>
      <protection hidden="1"/>
    </xf>
    <xf numFmtId="0" fontId="1" fillId="40" borderId="0" xfId="0" applyFont="1" applyFill="1" applyAlignment="1" applyProtection="1">
      <alignment vertical="center" wrapText="1" shrinkToFi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41" borderId="0" xfId="0" applyFont="1" applyFill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14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9" fillId="38" borderId="0" xfId="0" applyFont="1" applyFill="1" applyAlignment="1">
      <alignment horizontal="center" vertical="center" wrapText="1" shrinkToFit="1"/>
    </xf>
    <xf numFmtId="0" fontId="8" fillId="38" borderId="0" xfId="0" applyFont="1" applyFill="1" applyAlignment="1">
      <alignment horizontal="center" vertical="center" wrapText="1" shrinkToFit="1"/>
    </xf>
    <xf numFmtId="0" fontId="9" fillId="43" borderId="0" xfId="0" applyFont="1" applyFill="1" applyAlignment="1">
      <alignment horizontal="center" vertical="center" wrapText="1" shrinkToFit="1"/>
    </xf>
    <xf numFmtId="0" fontId="8" fillId="43" borderId="0" xfId="0" applyFont="1" applyFill="1" applyAlignment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>
      <alignment horizontal="center" vertical="center"/>
    </xf>
    <xf numFmtId="0" fontId="8" fillId="43" borderId="0" xfId="0" applyFont="1" applyFill="1" applyBorder="1" applyAlignment="1" applyProtection="1">
      <alignment horizontal="center" vertical="center" wrapText="1"/>
      <protection hidden="1"/>
    </xf>
    <xf numFmtId="0" fontId="8" fillId="43" borderId="0" xfId="0" applyFont="1" applyFill="1" applyAlignment="1" applyProtection="1">
      <alignment horizontal="center" vertical="center" wrapText="1"/>
      <protection hidden="1"/>
    </xf>
    <xf numFmtId="0" fontId="8" fillId="43" borderId="0" xfId="0" applyFont="1" applyFill="1" applyAlignment="1" applyProtection="1">
      <alignment horizontal="left" vertical="center" wrapText="1"/>
      <protection hidden="1"/>
    </xf>
    <xf numFmtId="0" fontId="8" fillId="43" borderId="0" xfId="0" applyFont="1" applyFill="1" applyAlignment="1" applyProtection="1">
      <alignment vertical="center" wrapText="1"/>
      <protection hidden="1"/>
    </xf>
    <xf numFmtId="0" fontId="8" fillId="44" borderId="0" xfId="0" applyFont="1" applyFill="1" applyAlignment="1" applyProtection="1">
      <alignment vertical="center" wrapText="1"/>
      <protection hidden="1"/>
    </xf>
    <xf numFmtId="0" fontId="12" fillId="33" borderId="0" xfId="0" applyFont="1" applyFill="1" applyBorder="1" applyAlignment="1" applyProtection="1">
      <alignment horizontal="center" vertical="center" wrapText="1"/>
      <protection hidden="1"/>
    </xf>
    <xf numFmtId="14" fontId="27" fillId="0" borderId="0" xfId="0" applyNumberFormat="1" applyFont="1" applyBorder="1" applyAlignment="1" applyProtection="1">
      <alignment horizontal="center"/>
      <protection hidden="1"/>
    </xf>
    <xf numFmtId="1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8" fillId="43" borderId="0" xfId="0" applyFont="1" applyFill="1" applyAlignment="1" applyProtection="1">
      <alignment horizontal="center" vertical="center"/>
      <protection hidden="1"/>
    </xf>
    <xf numFmtId="0" fontId="8" fillId="39" borderId="0" xfId="0" applyFont="1" applyFill="1" applyAlignment="1" applyProtection="1">
      <alignment horizontal="right" vertical="center" wrapText="1"/>
      <protection hidden="1"/>
    </xf>
    <xf numFmtId="0" fontId="8" fillId="39" borderId="0" xfId="0" applyFont="1" applyFill="1" applyAlignment="1" applyProtection="1">
      <alignment horizontal="center" vertical="center" wrapText="1"/>
      <protection hidden="1"/>
    </xf>
    <xf numFmtId="0" fontId="8" fillId="38" borderId="0" xfId="0" applyFont="1" applyFill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3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 applyProtection="1">
      <alignment horizontal="center" vertical="center" wrapText="1"/>
      <protection hidden="1"/>
    </xf>
    <xf numFmtId="0" fontId="36" fillId="40" borderId="13" xfId="0" applyFont="1" applyFill="1" applyBorder="1" applyAlignment="1" applyProtection="1">
      <alignment horizontal="center" vertical="center" wrapText="1"/>
      <protection hidden="1"/>
    </xf>
    <xf numFmtId="0" fontId="19" fillId="36" borderId="14" xfId="0" applyFont="1" applyFill="1" applyBorder="1" applyAlignment="1" applyProtection="1">
      <alignment horizontal="center" vertical="center" wrapText="1"/>
      <protection hidden="1"/>
    </xf>
    <xf numFmtId="0" fontId="2" fillId="36" borderId="14" xfId="0" applyFont="1" applyFill="1" applyBorder="1" applyAlignment="1" applyProtection="1">
      <alignment horizontal="center" vertical="center"/>
      <protection hidden="1"/>
    </xf>
    <xf numFmtId="0" fontId="8" fillId="36" borderId="15" xfId="0" applyFont="1" applyFill="1" applyBorder="1" applyAlignment="1" applyProtection="1">
      <alignment horizontal="center" vertical="center" wrapText="1"/>
      <protection hidden="1"/>
    </xf>
    <xf numFmtId="0" fontId="8" fillId="36" borderId="15" xfId="0" applyFont="1" applyFill="1" applyBorder="1" applyAlignment="1" applyProtection="1">
      <alignment horizontal="center" vertical="center"/>
      <protection hidden="1"/>
    </xf>
    <xf numFmtId="0" fontId="8" fillId="36" borderId="15" xfId="0" applyFont="1" applyFill="1" applyBorder="1" applyAlignment="1">
      <alignment horizontal="center" vertical="center"/>
    </xf>
    <xf numFmtId="0" fontId="24" fillId="36" borderId="15" xfId="0" applyFont="1" applyFill="1" applyBorder="1" applyAlignment="1" applyProtection="1">
      <alignment horizontal="center" vertical="center" wrapText="1"/>
      <protection hidden="1"/>
    </xf>
    <xf numFmtId="0" fontId="35" fillId="36" borderId="15" xfId="0" applyFont="1" applyFill="1" applyBorder="1" applyAlignment="1" applyProtection="1">
      <alignment horizontal="center" vertical="center" wrapText="1"/>
      <protection hidden="1"/>
    </xf>
    <xf numFmtId="0" fontId="33" fillId="36" borderId="15" xfId="0" applyFont="1" applyFill="1" applyBorder="1" applyAlignment="1" applyProtection="1">
      <alignment horizontal="center" vertical="center" wrapText="1"/>
      <protection hidden="1"/>
    </xf>
    <xf numFmtId="9" fontId="34" fillId="36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36" borderId="16" xfId="0" applyFont="1" applyFill="1" applyBorder="1" applyAlignment="1" applyProtection="1">
      <alignment horizontal="center" vertical="center" wrapText="1"/>
      <protection hidden="1"/>
    </xf>
    <xf numFmtId="0" fontId="31" fillId="43" borderId="17" xfId="0" applyFont="1" applyFill="1" applyBorder="1" applyAlignment="1" applyProtection="1">
      <alignment horizontal="center" vertical="center"/>
      <protection hidden="1"/>
    </xf>
    <xf numFmtId="0" fontId="31" fillId="43" borderId="18" xfId="0" applyFont="1" applyFill="1" applyBorder="1" applyAlignment="1" applyProtection="1">
      <alignment horizontal="center" vertical="center"/>
      <protection hidden="1"/>
    </xf>
    <xf numFmtId="0" fontId="31" fillId="43" borderId="19" xfId="0" applyFont="1" applyFill="1" applyBorder="1" applyAlignment="1" applyProtection="1">
      <alignment horizontal="center" vertical="center"/>
      <protection hidden="1"/>
    </xf>
    <xf numFmtId="0" fontId="31" fillId="35" borderId="20" xfId="0" applyFont="1" applyFill="1" applyBorder="1" applyAlignment="1" applyProtection="1">
      <alignment horizontal="center" vertical="center"/>
      <protection hidden="1"/>
    </xf>
    <xf numFmtId="0" fontId="31" fillId="35" borderId="18" xfId="0" applyFont="1" applyFill="1" applyBorder="1" applyAlignment="1" applyProtection="1">
      <alignment horizontal="center" vertical="center"/>
      <protection hidden="1"/>
    </xf>
    <xf numFmtId="0" fontId="31" fillId="35" borderId="19" xfId="0" applyFont="1" applyFill="1" applyBorder="1" applyAlignment="1" applyProtection="1">
      <alignment horizontal="center" vertical="center"/>
      <protection hidden="1"/>
    </xf>
    <xf numFmtId="0" fontId="31" fillId="45" borderId="21" xfId="0" applyFont="1" applyFill="1" applyBorder="1" applyAlignment="1" applyProtection="1">
      <alignment horizontal="center" vertical="center"/>
      <protection hidden="1"/>
    </xf>
    <xf numFmtId="0" fontId="31" fillId="45" borderId="18" xfId="0" applyFont="1" applyFill="1" applyBorder="1" applyAlignment="1" applyProtection="1">
      <alignment horizontal="center" vertical="center"/>
      <protection hidden="1"/>
    </xf>
    <xf numFmtId="0" fontId="31" fillId="45" borderId="22" xfId="0" applyFont="1" applyFill="1" applyBorder="1" applyAlignment="1" applyProtection="1">
      <alignment horizontal="center" vertical="center"/>
      <protection hidden="1"/>
    </xf>
    <xf numFmtId="0" fontId="7" fillId="46" borderId="23" xfId="0" applyFont="1" applyFill="1" applyBorder="1" applyAlignment="1" applyProtection="1">
      <alignment horizontal="center" vertical="center"/>
      <protection hidden="1"/>
    </xf>
    <xf numFmtId="0" fontId="37" fillId="33" borderId="24" xfId="0" applyFont="1" applyFill="1" applyBorder="1" applyAlignment="1" applyProtection="1">
      <alignment horizontal="center" vertical="center"/>
      <protection locked="0"/>
    </xf>
    <xf numFmtId="0" fontId="37" fillId="33" borderId="25" xfId="0" applyFont="1" applyFill="1" applyBorder="1" applyAlignment="1" applyProtection="1">
      <alignment horizontal="center" vertical="center"/>
      <protection locked="0"/>
    </xf>
    <xf numFmtId="0" fontId="37" fillId="33" borderId="26" xfId="0" applyFont="1" applyFill="1" applyBorder="1" applyAlignment="1" applyProtection="1">
      <alignment horizontal="center" vertical="center"/>
      <protection locked="0"/>
    </xf>
    <xf numFmtId="0" fontId="37" fillId="33" borderId="27" xfId="0" applyFont="1" applyFill="1" applyBorder="1" applyAlignment="1" applyProtection="1">
      <alignment horizontal="center" vertical="center"/>
      <protection locked="0"/>
    </xf>
    <xf numFmtId="0" fontId="37" fillId="33" borderId="28" xfId="0" applyFont="1" applyFill="1" applyBorder="1" applyAlignment="1" applyProtection="1">
      <alignment horizontal="center" vertical="center"/>
      <protection locked="0"/>
    </xf>
    <xf numFmtId="0" fontId="37" fillId="33" borderId="29" xfId="0" applyFont="1" applyFill="1" applyBorder="1" applyAlignment="1" applyProtection="1">
      <alignment horizontal="center" vertical="center"/>
      <protection locked="0"/>
    </xf>
    <xf numFmtId="0" fontId="7" fillId="46" borderId="30" xfId="0" applyFont="1" applyFill="1" applyBorder="1" applyAlignment="1" applyProtection="1">
      <alignment horizontal="center" vertical="center"/>
      <protection hidden="1"/>
    </xf>
    <xf numFmtId="0" fontId="37" fillId="33" borderId="31" xfId="0" applyFont="1" applyFill="1" applyBorder="1" applyAlignment="1" applyProtection="1">
      <alignment horizontal="center" vertical="center"/>
      <protection locked="0"/>
    </xf>
    <xf numFmtId="0" fontId="37" fillId="33" borderId="32" xfId="0" applyFont="1" applyFill="1" applyBorder="1" applyAlignment="1" applyProtection="1">
      <alignment horizontal="center" vertical="center"/>
      <protection locked="0"/>
    </xf>
    <xf numFmtId="0" fontId="37" fillId="33" borderId="33" xfId="0" applyFont="1" applyFill="1" applyBorder="1" applyAlignment="1" applyProtection="1">
      <alignment horizontal="center" vertical="center"/>
      <protection locked="0"/>
    </xf>
    <xf numFmtId="0" fontId="37" fillId="33" borderId="34" xfId="0" applyFont="1" applyFill="1" applyBorder="1" applyAlignment="1" applyProtection="1">
      <alignment horizontal="center" vertical="center"/>
      <protection locked="0"/>
    </xf>
    <xf numFmtId="0" fontId="37" fillId="33" borderId="35" xfId="0" applyFont="1" applyFill="1" applyBorder="1" applyAlignment="1" applyProtection="1">
      <alignment horizontal="center" vertical="center"/>
      <protection locked="0"/>
    </xf>
    <xf numFmtId="0" fontId="37" fillId="33" borderId="36" xfId="0" applyFont="1" applyFill="1" applyBorder="1" applyAlignment="1" applyProtection="1">
      <alignment horizontal="center" vertical="center"/>
      <protection locked="0"/>
    </xf>
    <xf numFmtId="0" fontId="8" fillId="44" borderId="0" xfId="0" applyFont="1" applyFill="1" applyAlignment="1" applyProtection="1">
      <alignment horizontal="center" vertical="center"/>
      <protection hidden="1"/>
    </xf>
    <xf numFmtId="0" fontId="39" fillId="36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38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6" fillId="36" borderId="0" xfId="0" applyFont="1" applyFill="1" applyBorder="1" applyAlignment="1" applyProtection="1">
      <alignment vertical="center"/>
      <protection hidden="1"/>
    </xf>
    <xf numFmtId="0" fontId="25" fillId="36" borderId="37" xfId="0" applyNumberFormat="1" applyFont="1" applyFill="1" applyBorder="1" applyAlignment="1" applyProtection="1">
      <alignment horizontal="center" vertical="top"/>
      <protection hidden="1"/>
    </xf>
    <xf numFmtId="0" fontId="8" fillId="33" borderId="0" xfId="0" applyFont="1" applyFill="1" applyAlignment="1" applyProtection="1">
      <alignment horizontal="left" vertical="center" wrapText="1"/>
      <protection hidden="1"/>
    </xf>
    <xf numFmtId="0" fontId="0" fillId="43" borderId="0" xfId="0" applyFill="1" applyAlignment="1">
      <alignment vertical="center"/>
    </xf>
    <xf numFmtId="0" fontId="1" fillId="43" borderId="0" xfId="0" applyFont="1" applyFill="1" applyAlignment="1">
      <alignment vertical="center"/>
    </xf>
    <xf numFmtId="0" fontId="1" fillId="43" borderId="0" xfId="0" applyFont="1" applyFill="1" applyAlignment="1" applyProtection="1">
      <alignment vertical="center"/>
      <protection hidden="1"/>
    </xf>
    <xf numFmtId="0" fontId="18" fillId="43" borderId="0" xfId="0" applyFont="1" applyFill="1" applyAlignment="1">
      <alignment vertical="center"/>
    </xf>
    <xf numFmtId="0" fontId="1" fillId="43" borderId="0" xfId="0" applyFont="1" applyFill="1" applyAlignment="1" applyProtection="1">
      <alignment vertical="center"/>
      <protection hidden="1"/>
    </xf>
    <xf numFmtId="0" fontId="1" fillId="43" borderId="0" xfId="0" applyFont="1" applyFill="1" applyAlignment="1" applyProtection="1">
      <alignment vertical="center"/>
      <protection hidden="1"/>
    </xf>
    <xf numFmtId="0" fontId="20" fillId="43" borderId="0" xfId="0" applyFont="1" applyFill="1" applyBorder="1" applyAlignment="1" applyProtection="1">
      <alignment vertical="center" wrapText="1"/>
      <protection hidden="1"/>
    </xf>
    <xf numFmtId="0" fontId="1" fillId="43" borderId="38" xfId="0" applyFont="1" applyFill="1" applyBorder="1" applyAlignment="1" applyProtection="1">
      <alignment vertical="center"/>
      <protection hidden="1"/>
    </xf>
    <xf numFmtId="0" fontId="31" fillId="43" borderId="38" xfId="0" applyFont="1" applyFill="1" applyBorder="1" applyAlignment="1">
      <alignment horizontal="left" vertical="center"/>
    </xf>
    <xf numFmtId="0" fontId="13" fillId="43" borderId="38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Alignment="1" applyProtection="1">
      <alignment vertical="center"/>
      <protection hidden="1"/>
    </xf>
    <xf numFmtId="0" fontId="1" fillId="38" borderId="0" xfId="0" applyFont="1" applyFill="1" applyAlignment="1" applyProtection="1">
      <alignment vertical="center"/>
      <protection hidden="1"/>
    </xf>
    <xf numFmtId="0" fontId="2" fillId="38" borderId="0" xfId="0" applyFont="1" applyFill="1" applyAlignment="1" applyProtection="1">
      <alignment vertical="center"/>
      <protection hidden="1"/>
    </xf>
    <xf numFmtId="0" fontId="44" fillId="43" borderId="39" xfId="0" applyFont="1" applyFill="1" applyBorder="1" applyAlignment="1" applyProtection="1">
      <alignment horizontal="center" vertical="center" wrapText="1"/>
      <protection hidden="1"/>
    </xf>
    <xf numFmtId="9" fontId="9" fillId="47" borderId="40" xfId="0" applyNumberFormat="1" applyFont="1" applyFill="1" applyBorder="1" applyAlignment="1" applyProtection="1">
      <alignment horizontal="center" vertical="center" wrapText="1"/>
      <protection hidden="1"/>
    </xf>
    <xf numFmtId="0" fontId="8" fillId="41" borderId="0" xfId="0" applyFont="1" applyFill="1" applyAlignment="1" applyProtection="1">
      <alignment horizontal="center" vertical="center" wrapText="1" shrinkToFit="1"/>
      <protection hidden="1"/>
    </xf>
    <xf numFmtId="0" fontId="8" fillId="39" borderId="0" xfId="0" applyFont="1" applyFill="1" applyAlignment="1" applyProtection="1">
      <alignment horizontal="center" vertical="center" wrapText="1" shrinkToFit="1"/>
      <protection hidden="1"/>
    </xf>
    <xf numFmtId="14" fontId="8" fillId="0" borderId="0" xfId="0" applyNumberFormat="1" applyFont="1" applyAlignment="1" applyProtection="1">
      <alignment horizontal="center" vertical="center" wrapText="1" shrinkToFit="1"/>
      <protection hidden="1"/>
    </xf>
    <xf numFmtId="0" fontId="46" fillId="33" borderId="41" xfId="0" applyFont="1" applyFill="1" applyBorder="1" applyAlignment="1" applyProtection="1">
      <alignment horizontal="center" vertical="center" wrapText="1"/>
      <protection locked="0"/>
    </xf>
    <xf numFmtId="0" fontId="46" fillId="33" borderId="11" xfId="0" applyFont="1" applyFill="1" applyBorder="1" applyAlignment="1" applyProtection="1">
      <alignment horizontal="center" vertical="center" wrapText="1"/>
      <protection locked="0"/>
    </xf>
    <xf numFmtId="0" fontId="4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Alignment="1" applyProtection="1">
      <alignment vertical="center"/>
      <protection hidden="1"/>
    </xf>
    <xf numFmtId="0" fontId="16" fillId="33" borderId="0" xfId="0" applyFont="1" applyFill="1" applyAlignment="1" applyProtection="1">
      <alignment vertical="center"/>
      <protection hidden="1"/>
    </xf>
    <xf numFmtId="0" fontId="16" fillId="33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45" fillId="47" borderId="42" xfId="0" applyFont="1" applyFill="1" applyBorder="1" applyAlignment="1" applyProtection="1">
      <alignment horizontal="center" vertical="center" wrapText="1"/>
      <protection hidden="1"/>
    </xf>
    <xf numFmtId="0" fontId="32" fillId="19" borderId="43" xfId="0" applyFont="1" applyFill="1" applyBorder="1" applyAlignment="1" applyProtection="1">
      <alignment horizontal="center" vertical="center" wrapText="1"/>
      <protection hidden="1"/>
    </xf>
    <xf numFmtId="0" fontId="96" fillId="48" borderId="14" xfId="0" applyFont="1" applyFill="1" applyBorder="1" applyAlignment="1" applyProtection="1">
      <alignment horizontal="center" vertical="center" wrapText="1"/>
      <protection hidden="1"/>
    </xf>
    <xf numFmtId="0" fontId="14" fillId="10" borderId="44" xfId="0" applyFont="1" applyFill="1" applyBorder="1" applyAlignment="1" applyProtection="1">
      <alignment horizontal="center" vertical="center" wrapText="1"/>
      <protection hidden="1"/>
    </xf>
    <xf numFmtId="0" fontId="14" fillId="10" borderId="45" xfId="0" applyFont="1" applyFill="1" applyBorder="1" applyAlignment="1" applyProtection="1">
      <alignment horizontal="center" vertical="center" wrapText="1"/>
      <protection hidden="1"/>
    </xf>
    <xf numFmtId="0" fontId="14" fillId="10" borderId="46" xfId="0" applyFont="1" applyFill="1" applyBorder="1" applyAlignment="1" applyProtection="1">
      <alignment horizontal="center" vertical="center" wrapText="1"/>
      <protection hidden="1"/>
    </xf>
    <xf numFmtId="9" fontId="9" fillId="47" borderId="47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48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42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49" xfId="0" applyNumberFormat="1" applyFont="1" applyFill="1" applyBorder="1" applyAlignment="1" applyProtection="1">
      <alignment horizontal="center" vertical="center" wrapText="1"/>
      <protection hidden="1"/>
    </xf>
    <xf numFmtId="0" fontId="45" fillId="47" borderId="50" xfId="0" applyFont="1" applyFill="1" applyBorder="1" applyAlignment="1" applyProtection="1">
      <alignment horizontal="center" vertical="center" wrapText="1"/>
      <protection hidden="1"/>
    </xf>
    <xf numFmtId="0" fontId="45" fillId="47" borderId="51" xfId="0" applyFont="1" applyFill="1" applyBorder="1" applyAlignment="1" applyProtection="1">
      <alignment horizontal="center" vertical="center" wrapText="1"/>
      <protection hidden="1"/>
    </xf>
    <xf numFmtId="0" fontId="45" fillId="47" borderId="52" xfId="0" applyFont="1" applyFill="1" applyBorder="1" applyAlignment="1" applyProtection="1">
      <alignment horizontal="center" vertical="center" wrapText="1"/>
      <protection hidden="1"/>
    </xf>
    <xf numFmtId="0" fontId="45" fillId="47" borderId="53" xfId="0" applyFont="1" applyFill="1" applyBorder="1" applyAlignment="1" applyProtection="1">
      <alignment horizontal="center" vertical="center" wrapText="1"/>
      <protection hidden="1"/>
    </xf>
    <xf numFmtId="9" fontId="9" fillId="47" borderId="54" xfId="0" applyNumberFormat="1" applyFont="1" applyFill="1" applyBorder="1" applyAlignment="1" applyProtection="1">
      <alignment horizontal="center" vertical="center" wrapText="1"/>
      <protection hidden="1"/>
    </xf>
    <xf numFmtId="0" fontId="45" fillId="47" borderId="55" xfId="0" applyFont="1" applyFill="1" applyBorder="1" applyAlignment="1" applyProtection="1">
      <alignment horizontal="center" vertical="center" wrapText="1"/>
      <protection hidden="1"/>
    </xf>
    <xf numFmtId="0" fontId="45" fillId="47" borderId="40" xfId="0" applyFont="1" applyFill="1" applyBorder="1" applyAlignment="1" applyProtection="1">
      <alignment horizontal="center" vertical="center" wrapText="1"/>
      <protection hidden="1"/>
    </xf>
    <xf numFmtId="0" fontId="97" fillId="33" borderId="0" xfId="0" applyFont="1" applyFill="1" applyBorder="1" applyAlignment="1" applyProtection="1">
      <alignment horizontal="center" vertical="center" wrapText="1"/>
      <protection hidden="1"/>
    </xf>
    <xf numFmtId="0" fontId="97" fillId="33" borderId="0" xfId="0" applyFont="1" applyFill="1" applyAlignment="1" applyProtection="1">
      <alignment vertical="center"/>
      <protection hidden="1"/>
    </xf>
    <xf numFmtId="0" fontId="97" fillId="33" borderId="0" xfId="0" applyFont="1" applyFill="1" applyBorder="1" applyAlignment="1" applyProtection="1">
      <alignment horizontal="center" vertical="center"/>
      <protection hidden="1"/>
    </xf>
    <xf numFmtId="0" fontId="97" fillId="33" borderId="0" xfId="0" applyFont="1" applyFill="1" applyAlignment="1">
      <alignment horizontal="center" vertical="center"/>
    </xf>
    <xf numFmtId="0" fontId="98" fillId="33" borderId="0" xfId="0" applyFont="1" applyFill="1" applyBorder="1" applyAlignment="1" applyProtection="1">
      <alignment horizontal="center" vertical="center" wrapText="1"/>
      <protection hidden="1"/>
    </xf>
    <xf numFmtId="0" fontId="97" fillId="33" borderId="0" xfId="0" applyFont="1" applyFill="1" applyBorder="1" applyAlignment="1" applyProtection="1">
      <alignment vertical="center" wrapText="1"/>
      <protection hidden="1"/>
    </xf>
    <xf numFmtId="0" fontId="97" fillId="33" borderId="0" xfId="0" applyFont="1" applyFill="1" applyAlignment="1" applyProtection="1">
      <alignment horizontal="center" vertical="center" wrapText="1"/>
      <protection hidden="1"/>
    </xf>
    <xf numFmtId="0" fontId="97" fillId="33" borderId="0" xfId="0" applyFont="1" applyFill="1" applyAlignment="1" applyProtection="1">
      <alignment vertical="center" wrapText="1"/>
      <protection hidden="1"/>
    </xf>
    <xf numFmtId="0" fontId="97" fillId="33" borderId="0" xfId="0" applyFont="1" applyFill="1" applyAlignment="1" applyProtection="1">
      <alignment horizontal="center" vertical="center"/>
      <protection hidden="1"/>
    </xf>
    <xf numFmtId="0" fontId="97" fillId="0" borderId="0" xfId="0" applyFont="1" applyAlignment="1" applyProtection="1">
      <alignment vertical="center"/>
      <protection hidden="1"/>
    </xf>
    <xf numFmtId="0" fontId="97" fillId="0" borderId="0" xfId="0" applyFont="1" applyAlignment="1" applyProtection="1">
      <alignment horizontal="center" vertical="center"/>
      <protection hidden="1"/>
    </xf>
    <xf numFmtId="0" fontId="97" fillId="43" borderId="0" xfId="0" applyFont="1" applyFill="1" applyAlignment="1" applyProtection="1">
      <alignment horizontal="center" vertical="center"/>
      <protection hidden="1"/>
    </xf>
    <xf numFmtId="0" fontId="97" fillId="0" borderId="0" xfId="0" applyFont="1" applyAlignment="1" applyProtection="1">
      <alignment vertical="center" wrapText="1" shrinkToFit="1"/>
      <protection hidden="1"/>
    </xf>
    <xf numFmtId="0" fontId="97" fillId="0" borderId="0" xfId="0" applyFont="1" applyFill="1" applyAlignment="1" applyProtection="1">
      <alignment horizontal="center" vertical="center"/>
      <protection hidden="1"/>
    </xf>
    <xf numFmtId="0" fontId="97" fillId="0" borderId="0" xfId="0" applyFont="1" applyFill="1" applyAlignment="1" applyProtection="1">
      <alignment vertical="center"/>
      <protection hidden="1"/>
    </xf>
    <xf numFmtId="0" fontId="97" fillId="33" borderId="0" xfId="0" applyFont="1" applyFill="1" applyBorder="1" applyAlignment="1" applyProtection="1">
      <alignment horizontal="right" vertical="center" wrapText="1"/>
      <protection hidden="1"/>
    </xf>
    <xf numFmtId="0" fontId="25" fillId="36" borderId="0" xfId="0" applyNumberFormat="1" applyFont="1" applyFill="1" applyBorder="1" applyAlignment="1" applyProtection="1">
      <alignment horizontal="center" vertical="top"/>
      <protection hidden="1"/>
    </xf>
    <xf numFmtId="0" fontId="40" fillId="43" borderId="56" xfId="0" applyNumberFormat="1" applyFont="1" applyFill="1" applyBorder="1" applyAlignment="1" applyProtection="1">
      <alignment horizontal="center" vertical="center"/>
      <protection hidden="1"/>
    </xf>
    <xf numFmtId="0" fontId="40" fillId="43" borderId="57" xfId="0" applyNumberFormat="1" applyFont="1" applyFill="1" applyBorder="1" applyAlignment="1" applyProtection="1">
      <alignment horizontal="center" vertical="center"/>
      <protection hidden="1"/>
    </xf>
    <xf numFmtId="0" fontId="97" fillId="0" borderId="0" xfId="0" applyFont="1" applyFill="1" applyBorder="1" applyAlignment="1" applyProtection="1">
      <alignment horizontal="right" vertical="center" wrapText="1"/>
      <protection hidden="1"/>
    </xf>
    <xf numFmtId="0" fontId="97" fillId="33" borderId="0" xfId="0" applyFont="1" applyFill="1" applyBorder="1" applyAlignment="1" applyProtection="1">
      <alignment horizontal="center" vertical="center" wrapText="1"/>
      <protection hidden="1"/>
    </xf>
    <xf numFmtId="0" fontId="99" fillId="0" borderId="0" xfId="0" applyFont="1" applyFill="1" applyBorder="1" applyAlignment="1" applyProtection="1">
      <alignment horizontal="center" vertical="center" wrapText="1"/>
      <protection hidden="1"/>
    </xf>
    <xf numFmtId="14" fontId="100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01" fillId="33" borderId="0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Fill="1" applyAlignment="1" applyProtection="1">
      <alignment vertical="center"/>
      <protection hidden="1"/>
    </xf>
    <xf numFmtId="0" fontId="45" fillId="47" borderId="48" xfId="0" applyFont="1" applyFill="1" applyBorder="1" applyAlignment="1" applyProtection="1">
      <alignment horizontal="center" vertical="center" wrapText="1"/>
      <protection hidden="1"/>
    </xf>
    <xf numFmtId="0" fontId="97" fillId="33" borderId="0" xfId="0" applyFont="1" applyFill="1" applyBorder="1" applyAlignment="1" applyProtection="1">
      <alignment horizontal="center" vertical="center" wrapText="1"/>
      <protection hidden="1"/>
    </xf>
    <xf numFmtId="14" fontId="102" fillId="36" borderId="58" xfId="0" applyNumberFormat="1" applyFont="1" applyFill="1" applyBorder="1" applyAlignment="1" applyProtection="1">
      <alignment horizontal="center" vertical="top"/>
      <protection hidden="1"/>
    </xf>
    <xf numFmtId="0" fontId="102" fillId="36" borderId="37" xfId="0" applyNumberFormat="1" applyFont="1" applyFill="1" applyBorder="1" applyAlignment="1" applyProtection="1">
      <alignment horizontal="center" vertical="top"/>
      <protection hidden="1"/>
    </xf>
    <xf numFmtId="0" fontId="102" fillId="36" borderId="0" xfId="0" applyNumberFormat="1" applyFont="1" applyFill="1" applyBorder="1" applyAlignment="1" applyProtection="1">
      <alignment horizontal="center" vertical="top"/>
      <protection hidden="1"/>
    </xf>
    <xf numFmtId="0" fontId="103" fillId="36" borderId="37" xfId="0" applyNumberFormat="1" applyFont="1" applyFill="1" applyBorder="1" applyAlignment="1" applyProtection="1">
      <alignment horizontal="center" vertical="top"/>
      <protection hidden="1"/>
    </xf>
    <xf numFmtId="0" fontId="51" fillId="0" borderId="0" xfId="0" applyNumberFormat="1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 horizontal="center" vertical="center"/>
      <protection hidden="1"/>
    </xf>
    <xf numFmtId="0" fontId="32" fillId="49" borderId="43" xfId="0" applyFont="1" applyFill="1" applyBorder="1" applyAlignment="1" applyProtection="1">
      <alignment horizontal="center" vertical="center" wrapText="1"/>
      <protection hidden="1"/>
    </xf>
    <xf numFmtId="9" fontId="9" fillId="47" borderId="53" xfId="0" applyNumberFormat="1" applyFont="1" applyFill="1" applyBorder="1" applyAlignment="1" applyProtection="1">
      <alignment horizontal="center" vertical="center" wrapText="1"/>
      <protection hidden="1"/>
    </xf>
    <xf numFmtId="0" fontId="45" fillId="47" borderId="59" xfId="0" applyFont="1" applyFill="1" applyBorder="1" applyAlignment="1" applyProtection="1">
      <alignment horizontal="center" vertical="center" wrapText="1"/>
      <protection hidden="1"/>
    </xf>
    <xf numFmtId="0" fontId="45" fillId="47" borderId="60" xfId="0" applyFont="1" applyFill="1" applyBorder="1" applyAlignment="1" applyProtection="1">
      <alignment horizontal="center" vertical="center" wrapText="1"/>
      <protection hidden="1"/>
    </xf>
    <xf numFmtId="9" fontId="9" fillId="47" borderId="61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60" xfId="0" applyNumberFormat="1" applyFont="1" applyFill="1" applyBorder="1" applyAlignment="1" applyProtection="1">
      <alignment horizontal="center" vertical="center" wrapText="1"/>
      <protection hidden="1"/>
    </xf>
    <xf numFmtId="0" fontId="45" fillId="47" borderId="62" xfId="0" applyFont="1" applyFill="1" applyBorder="1" applyAlignment="1" applyProtection="1">
      <alignment horizontal="center" vertical="center" wrapText="1"/>
      <protection hidden="1"/>
    </xf>
    <xf numFmtId="0" fontId="45" fillId="47" borderId="63" xfId="0" applyFont="1" applyFill="1" applyBorder="1" applyAlignment="1" applyProtection="1">
      <alignment horizontal="center" vertical="center" wrapText="1"/>
      <protection hidden="1"/>
    </xf>
    <xf numFmtId="9" fontId="9" fillId="47" borderId="64" xfId="0" applyNumberFormat="1" applyFont="1" applyFill="1" applyBorder="1" applyAlignment="1" applyProtection="1">
      <alignment horizontal="center" vertical="center" wrapText="1"/>
      <protection hidden="1"/>
    </xf>
    <xf numFmtId="0" fontId="97" fillId="0" borderId="0" xfId="0" applyFont="1" applyFill="1" applyBorder="1" applyAlignment="1" applyProtection="1">
      <alignment horizontal="right" vertical="center"/>
      <protection hidden="1"/>
    </xf>
    <xf numFmtId="14" fontId="1" fillId="0" borderId="0" xfId="0" applyNumberFormat="1" applyFont="1" applyFill="1" applyAlignment="1" applyProtection="1">
      <alignment vertical="center"/>
      <protection hidden="1"/>
    </xf>
    <xf numFmtId="14" fontId="53" fillId="0" borderId="0" xfId="0" applyNumberFormat="1" applyFont="1" applyFill="1" applyAlignment="1" applyProtection="1">
      <alignment vertical="center"/>
      <protection hidden="1"/>
    </xf>
    <xf numFmtId="9" fontId="9" fillId="47" borderId="51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63" xfId="0" applyNumberFormat="1" applyFont="1" applyFill="1" applyBorder="1" applyAlignment="1" applyProtection="1">
      <alignment horizontal="center" vertical="center" wrapText="1"/>
      <protection hidden="1"/>
    </xf>
    <xf numFmtId="0" fontId="45" fillId="47" borderId="65" xfId="0" applyFont="1" applyFill="1" applyBorder="1" applyAlignment="1" applyProtection="1">
      <alignment horizontal="center" vertical="center" wrapText="1"/>
      <protection hidden="1"/>
    </xf>
    <xf numFmtId="0" fontId="104" fillId="48" borderId="0" xfId="0" applyFont="1" applyFill="1" applyBorder="1" applyAlignment="1" applyProtection="1">
      <alignment horizontal="right" vertical="center"/>
      <protection hidden="1"/>
    </xf>
    <xf numFmtId="0" fontId="20" fillId="48" borderId="0" xfId="0" applyFont="1" applyFill="1" applyBorder="1" applyAlignment="1" applyProtection="1">
      <alignment vertical="center"/>
      <protection hidden="1"/>
    </xf>
    <xf numFmtId="0" fontId="8" fillId="48" borderId="0" xfId="0" applyFont="1" applyFill="1" applyAlignment="1" applyProtection="1">
      <alignment vertical="center"/>
      <protection hidden="1"/>
    </xf>
    <xf numFmtId="0" fontId="6" fillId="48" borderId="0" xfId="0" applyFont="1" applyFill="1" applyBorder="1" applyAlignment="1" applyProtection="1">
      <alignment vertical="center"/>
      <protection hidden="1"/>
    </xf>
    <xf numFmtId="14" fontId="51" fillId="48" borderId="0" xfId="0" applyNumberFormat="1" applyFont="1" applyFill="1" applyAlignment="1" applyProtection="1">
      <alignment vertical="center"/>
      <protection hidden="1"/>
    </xf>
    <xf numFmtId="0" fontId="8" fillId="48" borderId="0" xfId="0" applyFont="1" applyFill="1" applyAlignment="1" applyProtection="1">
      <alignment horizontal="center" vertical="center"/>
      <protection hidden="1"/>
    </xf>
    <xf numFmtId="0" fontId="97" fillId="50" borderId="0" xfId="0" applyFont="1" applyFill="1" applyBorder="1" applyAlignment="1" applyProtection="1">
      <alignment horizontal="right" vertical="center"/>
      <protection hidden="1"/>
    </xf>
    <xf numFmtId="49" fontId="32" fillId="19" borderId="43" xfId="0" applyNumberFormat="1" applyFont="1" applyFill="1" applyBorder="1" applyAlignment="1" applyProtection="1">
      <alignment horizontal="center" vertical="center" wrapText="1"/>
      <protection hidden="1"/>
    </xf>
    <xf numFmtId="0" fontId="32" fillId="51" borderId="43" xfId="0" applyFont="1" applyFill="1" applyBorder="1" applyAlignment="1" applyProtection="1">
      <alignment horizontal="center" vertical="center" wrapText="1"/>
      <protection hidden="1"/>
    </xf>
    <xf numFmtId="0" fontId="32" fillId="52" borderId="43" xfId="0" applyFont="1" applyFill="1" applyBorder="1" applyAlignment="1" applyProtection="1">
      <alignment horizontal="center" vertical="center" wrapText="1"/>
      <protection hidden="1"/>
    </xf>
    <xf numFmtId="0" fontId="32" fillId="19" borderId="66" xfId="0" applyFont="1" applyFill="1" applyBorder="1" applyAlignment="1" applyProtection="1">
      <alignment horizontal="center" vertical="center" wrapText="1"/>
      <protection hidden="1"/>
    </xf>
    <xf numFmtId="0" fontId="32" fillId="52" borderId="67" xfId="0" applyFont="1" applyFill="1" applyBorder="1" applyAlignment="1" applyProtection="1">
      <alignment horizontal="center" vertical="center" wrapText="1"/>
      <protection hidden="1"/>
    </xf>
    <xf numFmtId="0" fontId="32" fillId="52" borderId="68" xfId="0" applyFont="1" applyFill="1" applyBorder="1" applyAlignment="1" applyProtection="1">
      <alignment horizontal="center" vertical="center" wrapText="1"/>
      <protection hidden="1"/>
    </xf>
    <xf numFmtId="0" fontId="32" fillId="51" borderId="66" xfId="0" applyFont="1" applyFill="1" applyBorder="1" applyAlignment="1" applyProtection="1">
      <alignment horizontal="center" vertical="center" wrapText="1"/>
      <protection hidden="1"/>
    </xf>
    <xf numFmtId="0" fontId="32" fillId="19" borderId="69" xfId="0" applyFont="1" applyFill="1" applyBorder="1" applyAlignment="1" applyProtection="1">
      <alignment horizontal="center" vertical="center" wrapText="1"/>
      <protection hidden="1"/>
    </xf>
    <xf numFmtId="49" fontId="32" fillId="49" borderId="43" xfId="0" applyNumberFormat="1" applyFont="1" applyFill="1" applyBorder="1" applyAlignment="1" applyProtection="1">
      <alignment horizontal="center" vertical="center" wrapText="1"/>
      <protection hidden="1"/>
    </xf>
    <xf numFmtId="0" fontId="105" fillId="10" borderId="44" xfId="0" applyFont="1" applyFill="1" applyBorder="1" applyAlignment="1">
      <alignment horizontal="center" wrapText="1"/>
    </xf>
    <xf numFmtId="0" fontId="105" fillId="10" borderId="45" xfId="0" applyFont="1" applyFill="1" applyBorder="1" applyAlignment="1">
      <alignment horizontal="center" wrapText="1"/>
    </xf>
    <xf numFmtId="0" fontId="105" fillId="10" borderId="70" xfId="0" applyFont="1" applyFill="1" applyBorder="1" applyAlignment="1">
      <alignment horizontal="center" wrapText="1"/>
    </xf>
    <xf numFmtId="0" fontId="105" fillId="10" borderId="71" xfId="0" applyFont="1" applyFill="1" applyBorder="1" applyAlignment="1">
      <alignment horizontal="center" wrapText="1"/>
    </xf>
    <xf numFmtId="0" fontId="105" fillId="10" borderId="53" xfId="0" applyFont="1" applyFill="1" applyBorder="1" applyAlignment="1">
      <alignment horizontal="center" wrapText="1"/>
    </xf>
    <xf numFmtId="0" fontId="104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14" fontId="8" fillId="0" borderId="0" xfId="0" applyNumberFormat="1" applyFont="1" applyFill="1" applyAlignment="1" applyProtection="1">
      <alignment horizontal="center" vertical="center"/>
      <protection hidden="1"/>
    </xf>
    <xf numFmtId="9" fontId="9" fillId="47" borderId="72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73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74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75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76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77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78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79" xfId="0" applyNumberFormat="1" applyFont="1" applyFill="1" applyBorder="1" applyAlignment="1" applyProtection="1">
      <alignment horizontal="center" vertical="center" wrapText="1"/>
      <protection hidden="1"/>
    </xf>
    <xf numFmtId="0" fontId="97" fillId="33" borderId="0" xfId="0" applyFont="1" applyFill="1" applyBorder="1" applyAlignment="1" applyProtection="1">
      <alignment horizontal="center" vertical="center" wrapText="1"/>
      <protection hidden="1"/>
    </xf>
    <xf numFmtId="0" fontId="45" fillId="47" borderId="80" xfId="0" applyFont="1" applyFill="1" applyBorder="1" applyAlignment="1" applyProtection="1">
      <alignment horizontal="center" vertical="center" wrapText="1"/>
      <protection hidden="1"/>
    </xf>
    <xf numFmtId="14" fontId="102" fillId="36" borderId="0" xfId="0" applyNumberFormat="1" applyFont="1" applyFill="1" applyBorder="1" applyAlignment="1" applyProtection="1">
      <alignment horizontal="center" vertical="top"/>
      <protection hidden="1"/>
    </xf>
    <xf numFmtId="9" fontId="9" fillId="47" borderId="80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81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82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67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83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43" xfId="0" applyNumberFormat="1" applyFont="1" applyFill="1" applyBorder="1" applyAlignment="1" applyProtection="1">
      <alignment horizontal="center" vertical="center" wrapText="1"/>
      <protection hidden="1"/>
    </xf>
    <xf numFmtId="182" fontId="31" fillId="0" borderId="0" xfId="0" applyNumberFormat="1" applyFont="1" applyAlignment="1" applyProtection="1">
      <alignment horizontal="center" vertical="center"/>
      <protection hidden="1"/>
    </xf>
    <xf numFmtId="182" fontId="56" fillId="0" borderId="0" xfId="0" applyNumberFormat="1" applyFont="1" applyAlignment="1" applyProtection="1">
      <alignment horizontal="center" vertical="center"/>
      <protection hidden="1"/>
    </xf>
    <xf numFmtId="182" fontId="31" fillId="0" borderId="0" xfId="0" applyNumberFormat="1" applyFont="1" applyFill="1" applyAlignment="1" applyProtection="1">
      <alignment horizontal="center" vertical="center"/>
      <protection hidden="1"/>
    </xf>
    <xf numFmtId="182" fontId="106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0" fontId="31" fillId="0" borderId="0" xfId="0" applyNumberFormat="1" applyFont="1" applyAlignment="1" applyProtection="1">
      <alignment horizontal="center" vertical="center"/>
      <protection hidden="1"/>
    </xf>
    <xf numFmtId="14" fontId="53" fillId="48" borderId="0" xfId="0" applyNumberFormat="1" applyFont="1" applyFill="1" applyAlignment="1" applyProtection="1">
      <alignment vertical="center"/>
      <protection hidden="1"/>
    </xf>
    <xf numFmtId="0" fontId="52" fillId="36" borderId="0" xfId="0" applyNumberFormat="1" applyFont="1" applyFill="1" applyBorder="1" applyAlignment="1" applyProtection="1">
      <alignment horizontal="center" vertical="center" wrapText="1"/>
      <protection hidden="1"/>
    </xf>
    <xf numFmtId="0" fontId="40" fillId="43" borderId="84" xfId="0" applyNumberFormat="1" applyFont="1" applyFill="1" applyBorder="1" applyAlignment="1" applyProtection="1">
      <alignment horizontal="center" vertical="center"/>
      <protection hidden="1"/>
    </xf>
    <xf numFmtId="0" fontId="25" fillId="36" borderId="85" xfId="0" applyNumberFormat="1" applyFont="1" applyFill="1" applyBorder="1" applyAlignment="1" applyProtection="1">
      <alignment horizontal="center" vertical="top"/>
      <protection hidden="1"/>
    </xf>
    <xf numFmtId="0" fontId="25" fillId="36" borderId="86" xfId="0" applyNumberFormat="1" applyFont="1" applyFill="1" applyBorder="1" applyAlignment="1" applyProtection="1">
      <alignment horizontal="center" vertical="top"/>
      <protection hidden="1"/>
    </xf>
    <xf numFmtId="0" fontId="14" fillId="49" borderId="55" xfId="0" applyFont="1" applyFill="1" applyBorder="1" applyAlignment="1" applyProtection="1">
      <alignment horizontal="center" vertical="center" wrapText="1"/>
      <protection hidden="1"/>
    </xf>
    <xf numFmtId="0" fontId="14" fillId="49" borderId="49" xfId="0" applyFont="1" applyFill="1" applyBorder="1" applyAlignment="1" applyProtection="1">
      <alignment horizontal="center" vertical="center" wrapText="1"/>
      <protection hidden="1"/>
    </xf>
    <xf numFmtId="0" fontId="104" fillId="40" borderId="87" xfId="0" applyFont="1" applyFill="1" applyBorder="1" applyAlignment="1" applyProtection="1">
      <alignment horizontal="center" vertical="center" wrapText="1"/>
      <protection hidden="1"/>
    </xf>
    <xf numFmtId="0" fontId="104" fillId="40" borderId="13" xfId="0" applyFont="1" applyFill="1" applyBorder="1" applyAlignment="1" applyProtection="1">
      <alignment horizontal="center" vertical="center" wrapText="1"/>
      <protection hidden="1"/>
    </xf>
    <xf numFmtId="0" fontId="104" fillId="40" borderId="88" xfId="0" applyFont="1" applyFill="1" applyBorder="1" applyAlignment="1" applyProtection="1">
      <alignment horizontal="center" vertical="center" wrapText="1"/>
      <protection hidden="1"/>
    </xf>
    <xf numFmtId="0" fontId="104" fillId="40" borderId="89" xfId="0" applyFont="1" applyFill="1" applyBorder="1" applyAlignment="1" applyProtection="1">
      <alignment horizontal="center" vertical="center" wrapText="1"/>
      <protection hidden="1"/>
    </xf>
    <xf numFmtId="0" fontId="14" fillId="23" borderId="0" xfId="0" applyFont="1" applyFill="1" applyAlignment="1" applyProtection="1">
      <alignment horizontal="center" vertical="top" wrapText="1"/>
      <protection hidden="1"/>
    </xf>
    <xf numFmtId="0" fontId="8" fillId="23" borderId="0" xfId="0" applyFont="1" applyFill="1" applyAlignment="1" applyProtection="1">
      <alignment vertical="top" wrapText="1"/>
      <protection hidden="1"/>
    </xf>
    <xf numFmtId="0" fontId="16" fillId="23" borderId="0" xfId="0" applyFont="1" applyFill="1" applyAlignment="1" applyProtection="1">
      <alignment horizontal="right" vertical="top" wrapText="1"/>
      <protection hidden="1"/>
    </xf>
    <xf numFmtId="0" fontId="14" fillId="23" borderId="0" xfId="0" applyFont="1" applyFill="1" applyAlignment="1" applyProtection="1">
      <alignment horizontal="right" wrapText="1"/>
      <protection hidden="1"/>
    </xf>
    <xf numFmtId="49" fontId="8" fillId="23" borderId="0" xfId="0" applyNumberFormat="1" applyFont="1" applyFill="1" applyAlignment="1" applyProtection="1">
      <alignment horizontal="right" wrapText="1"/>
      <protection hidden="1"/>
    </xf>
    <xf numFmtId="49" fontId="97" fillId="23" borderId="0" xfId="0" applyNumberFormat="1" applyFont="1" applyFill="1" applyAlignment="1" applyProtection="1">
      <alignment horizontal="right" wrapText="1"/>
      <protection hidden="1"/>
    </xf>
    <xf numFmtId="49" fontId="14" fillId="23" borderId="0" xfId="0" applyNumberFormat="1" applyFont="1" applyFill="1" applyAlignment="1" applyProtection="1">
      <alignment horizontal="right" wrapText="1"/>
      <protection hidden="1"/>
    </xf>
    <xf numFmtId="0" fontId="48" fillId="23" borderId="0" xfId="0" applyFont="1" applyFill="1" applyAlignment="1" applyProtection="1">
      <alignment horizontal="distributed" vertical="top" wrapText="1"/>
      <protection hidden="1"/>
    </xf>
    <xf numFmtId="0" fontId="8" fillId="23" borderId="0" xfId="0" applyFont="1" applyFill="1" applyAlignment="1" applyProtection="1">
      <alignment wrapText="1"/>
      <protection hidden="1"/>
    </xf>
    <xf numFmtId="0" fontId="15" fillId="46" borderId="27" xfId="0" applyFont="1" applyFill="1" applyBorder="1" applyAlignment="1" applyProtection="1">
      <alignment horizontal="center" vertical="center"/>
      <protection hidden="1"/>
    </xf>
    <xf numFmtId="0" fontId="15" fillId="46" borderId="28" xfId="0" applyFont="1" applyFill="1" applyBorder="1" applyAlignment="1" applyProtection="1">
      <alignment horizontal="center" vertical="center"/>
      <protection hidden="1"/>
    </xf>
    <xf numFmtId="0" fontId="15" fillId="46" borderId="90" xfId="0" applyFont="1" applyFill="1" applyBorder="1" applyAlignment="1" applyProtection="1">
      <alignment horizontal="center" vertical="center" wrapText="1"/>
      <protection hidden="1"/>
    </xf>
    <xf numFmtId="0" fontId="15" fillId="46" borderId="91" xfId="0" applyFont="1" applyFill="1" applyBorder="1" applyAlignment="1" applyProtection="1">
      <alignment horizontal="center" vertical="center"/>
      <protection hidden="1"/>
    </xf>
    <xf numFmtId="0" fontId="15" fillId="46" borderId="92" xfId="0" applyFont="1" applyFill="1" applyBorder="1" applyAlignment="1" applyProtection="1">
      <alignment horizontal="center" vertical="center"/>
      <protection hidden="1"/>
    </xf>
    <xf numFmtId="0" fontId="15" fillId="46" borderId="93" xfId="0" applyFont="1" applyFill="1" applyBorder="1" applyAlignment="1" applyProtection="1">
      <alignment horizontal="center" vertical="center" wrapText="1"/>
      <protection hidden="1"/>
    </xf>
    <xf numFmtId="0" fontId="14" fillId="51" borderId="55" xfId="0" applyFont="1" applyFill="1" applyBorder="1" applyAlignment="1" applyProtection="1">
      <alignment horizontal="center" vertical="center" wrapText="1"/>
      <protection hidden="1"/>
    </xf>
    <xf numFmtId="0" fontId="14" fillId="51" borderId="49" xfId="0" applyFont="1" applyFill="1" applyBorder="1" applyAlignment="1" applyProtection="1">
      <alignment horizontal="center" vertical="center" wrapText="1"/>
      <protection hidden="1"/>
    </xf>
    <xf numFmtId="0" fontId="14" fillId="53" borderId="55" xfId="0" applyFont="1" applyFill="1" applyBorder="1" applyAlignment="1" applyProtection="1">
      <alignment horizontal="center" vertical="center" wrapText="1"/>
      <protection hidden="1"/>
    </xf>
    <xf numFmtId="0" fontId="14" fillId="53" borderId="49" xfId="0" applyFont="1" applyFill="1" applyBorder="1" applyAlignment="1" applyProtection="1">
      <alignment horizontal="center" vertical="center" wrapText="1"/>
      <protection hidden="1"/>
    </xf>
    <xf numFmtId="0" fontId="14" fillId="52" borderId="55" xfId="0" applyFont="1" applyFill="1" applyBorder="1" applyAlignment="1" applyProtection="1">
      <alignment horizontal="center" vertical="center" wrapText="1"/>
      <protection hidden="1"/>
    </xf>
    <xf numFmtId="0" fontId="14" fillId="52" borderId="49" xfId="0" applyFont="1" applyFill="1" applyBorder="1" applyAlignment="1" applyProtection="1">
      <alignment horizontal="center" vertical="center" wrapText="1"/>
      <protection hidden="1"/>
    </xf>
    <xf numFmtId="0" fontId="44" fillId="54" borderId="39" xfId="0" applyFont="1" applyFill="1" applyBorder="1" applyAlignment="1" applyProtection="1">
      <alignment horizontal="center" vertical="center" wrapText="1"/>
      <protection hidden="1"/>
    </xf>
    <xf numFmtId="0" fontId="44" fillId="54" borderId="94" xfId="0" applyFont="1" applyFill="1" applyBorder="1" applyAlignment="1" applyProtection="1">
      <alignment horizontal="center" vertical="center" wrapText="1"/>
      <protection hidden="1"/>
    </xf>
    <xf numFmtId="0" fontId="44" fillId="54" borderId="95" xfId="0" applyFont="1" applyFill="1" applyBorder="1" applyAlignment="1" applyProtection="1">
      <alignment horizontal="center" vertical="center" wrapText="1"/>
      <protection hidden="1"/>
    </xf>
    <xf numFmtId="0" fontId="44" fillId="54" borderId="69" xfId="0" applyFont="1" applyFill="1" applyBorder="1" applyAlignment="1" applyProtection="1">
      <alignment horizontal="center" vertical="center" wrapText="1"/>
      <protection hidden="1"/>
    </xf>
    <xf numFmtId="0" fontId="44" fillId="54" borderId="96" xfId="0" applyFont="1" applyFill="1" applyBorder="1" applyAlignment="1" applyProtection="1">
      <alignment horizontal="center" vertical="center" wrapText="1"/>
      <protection hidden="1"/>
    </xf>
    <xf numFmtId="0" fontId="14" fillId="53" borderId="97" xfId="0" applyFont="1" applyFill="1" applyBorder="1" applyAlignment="1" applyProtection="1">
      <alignment horizontal="center" vertical="center" wrapText="1"/>
      <protection hidden="1"/>
    </xf>
    <xf numFmtId="0" fontId="14" fillId="53" borderId="98" xfId="0" applyFont="1" applyFill="1" applyBorder="1" applyAlignment="1" applyProtection="1">
      <alignment horizontal="center" vertical="center" wrapText="1"/>
      <protection hidden="1"/>
    </xf>
    <xf numFmtId="0" fontId="14" fillId="52" borderId="59" xfId="0" applyFont="1" applyFill="1" applyBorder="1" applyAlignment="1" applyProtection="1">
      <alignment horizontal="center" vertical="center" wrapText="1"/>
      <protection hidden="1"/>
    </xf>
    <xf numFmtId="0" fontId="14" fillId="52" borderId="61" xfId="0" applyFont="1" applyFill="1" applyBorder="1" applyAlignment="1" applyProtection="1">
      <alignment horizontal="center" vertical="center" wrapText="1"/>
      <protection hidden="1"/>
    </xf>
    <xf numFmtId="0" fontId="14" fillId="52" borderId="99" xfId="0" applyFont="1" applyFill="1" applyBorder="1" applyAlignment="1" applyProtection="1">
      <alignment horizontal="center" vertical="center" wrapText="1"/>
      <protection hidden="1"/>
    </xf>
    <xf numFmtId="0" fontId="14" fillId="52" borderId="100" xfId="0" applyFont="1" applyFill="1" applyBorder="1" applyAlignment="1" applyProtection="1">
      <alignment horizontal="center" vertical="center" wrapText="1"/>
      <protection hidden="1"/>
    </xf>
    <xf numFmtId="0" fontId="14" fillId="51" borderId="97" xfId="0" applyFont="1" applyFill="1" applyBorder="1" applyAlignment="1" applyProtection="1">
      <alignment horizontal="center" vertical="center" wrapText="1"/>
      <protection hidden="1"/>
    </xf>
    <xf numFmtId="0" fontId="14" fillId="51" borderId="98" xfId="0" applyFont="1" applyFill="1" applyBorder="1" applyAlignment="1" applyProtection="1">
      <alignment horizontal="center" vertical="center" wrapText="1"/>
      <protection hidden="1"/>
    </xf>
    <xf numFmtId="0" fontId="14" fillId="53" borderId="59" xfId="0" applyFont="1" applyFill="1" applyBorder="1" applyAlignment="1" applyProtection="1">
      <alignment horizontal="center" vertical="center" wrapText="1"/>
      <protection hidden="1"/>
    </xf>
    <xf numFmtId="0" fontId="14" fillId="53" borderId="61" xfId="0" applyFont="1" applyFill="1" applyBorder="1" applyAlignment="1" applyProtection="1">
      <alignment horizontal="center" vertical="center" wrapText="1"/>
      <protection hidden="1"/>
    </xf>
    <xf numFmtId="0" fontId="8" fillId="43" borderId="0" xfId="0" applyFont="1" applyFill="1" applyBorder="1" applyAlignment="1" applyProtection="1">
      <alignment horizontal="left" vertical="center" wrapText="1"/>
      <protection hidden="1"/>
    </xf>
    <xf numFmtId="0" fontId="8" fillId="40" borderId="101" xfId="0" applyFont="1" applyFill="1" applyBorder="1" applyAlignment="1" applyProtection="1">
      <alignment horizontal="center" vertical="center" wrapText="1" shrinkToFit="1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4" fontId="97" fillId="0" borderId="0" xfId="0" applyNumberFormat="1" applyFont="1" applyAlignment="1" applyProtection="1">
      <alignment horizontal="center" vertical="center"/>
      <protection hidden="1"/>
    </xf>
    <xf numFmtId="14" fontId="97" fillId="0" borderId="0" xfId="0" applyNumberFormat="1" applyFont="1" applyAlignment="1" applyProtection="1">
      <alignment horizontal="center" vertical="center" wrapText="1" shrinkToFit="1"/>
      <protection hidden="1"/>
    </xf>
    <xf numFmtId="14" fontId="1" fillId="0" borderId="0" xfId="0" applyNumberFormat="1" applyFont="1" applyAlignment="1" applyProtection="1">
      <alignment vertical="center" wrapText="1" shrinkToFit="1"/>
      <protection hidden="1"/>
    </xf>
    <xf numFmtId="14" fontId="8" fillId="41" borderId="0" xfId="0" applyNumberFormat="1" applyFont="1" applyFill="1" applyAlignment="1" applyProtection="1">
      <alignment vertical="center" wrapText="1" shrinkToFit="1"/>
      <protection hidden="1"/>
    </xf>
    <xf numFmtId="0" fontId="8" fillId="0" borderId="0" xfId="0" applyNumberFormat="1" applyFont="1" applyAlignment="1" applyProtection="1">
      <alignment horizontal="center" vertical="center" wrapText="1" shrinkToFit="1"/>
      <protection hidden="1"/>
    </xf>
    <xf numFmtId="0" fontId="45" fillId="47" borderId="47" xfId="0" applyFont="1" applyFill="1" applyBorder="1" applyAlignment="1" applyProtection="1">
      <alignment horizontal="center" vertical="center" wrapText="1"/>
      <protection hidden="1"/>
    </xf>
    <xf numFmtId="14" fontId="53" fillId="0" borderId="0" xfId="0" applyNumberFormat="1" applyFont="1" applyFill="1" applyAlignment="1" applyProtection="1">
      <alignment horizontal="center" vertical="center"/>
      <protection hidden="1"/>
    </xf>
    <xf numFmtId="0" fontId="45" fillId="47" borderId="75" xfId="0" applyFont="1" applyFill="1" applyBorder="1" applyAlignment="1" applyProtection="1">
      <alignment horizontal="center" vertical="center" wrapText="1"/>
      <protection hidden="1"/>
    </xf>
    <xf numFmtId="0" fontId="45" fillId="47" borderId="49" xfId="0" applyFont="1" applyFill="1" applyBorder="1" applyAlignment="1" applyProtection="1">
      <alignment horizontal="center" vertical="center" wrapText="1"/>
      <protection hidden="1"/>
    </xf>
    <xf numFmtId="0" fontId="45" fillId="47" borderId="43" xfId="0" applyFont="1" applyFill="1" applyBorder="1" applyAlignment="1" applyProtection="1">
      <alignment horizontal="center" vertical="center" wrapText="1"/>
      <protection hidden="1"/>
    </xf>
    <xf numFmtId="0" fontId="45" fillId="47" borderId="81" xfId="0" applyFont="1" applyFill="1" applyBorder="1" applyAlignment="1" applyProtection="1">
      <alignment horizontal="center" vertical="center" wrapText="1"/>
      <protection hidden="1"/>
    </xf>
    <xf numFmtId="0" fontId="45" fillId="47" borderId="64" xfId="0" applyFont="1" applyFill="1" applyBorder="1" applyAlignment="1" applyProtection="1">
      <alignment horizontal="center" vertical="center" wrapText="1"/>
      <protection hidden="1"/>
    </xf>
    <xf numFmtId="0" fontId="45" fillId="47" borderId="83" xfId="0" applyFont="1" applyFill="1" applyBorder="1" applyAlignment="1" applyProtection="1">
      <alignment horizontal="center" vertical="center" wrapText="1"/>
      <protection hidden="1"/>
    </xf>
    <xf numFmtId="0" fontId="45" fillId="47" borderId="54" xfId="0" applyFont="1" applyFill="1" applyBorder="1" applyAlignment="1" applyProtection="1">
      <alignment horizontal="center" vertical="center" wrapText="1"/>
      <protection hidden="1"/>
    </xf>
    <xf numFmtId="0" fontId="45" fillId="47" borderId="82" xfId="0" applyFont="1" applyFill="1" applyBorder="1" applyAlignment="1" applyProtection="1">
      <alignment horizontal="center" vertical="center" wrapText="1"/>
      <protection hidden="1"/>
    </xf>
    <xf numFmtId="0" fontId="45" fillId="47" borderId="61" xfId="0" applyFont="1" applyFill="1" applyBorder="1" applyAlignment="1" applyProtection="1">
      <alignment horizontal="center" vertical="center" wrapText="1"/>
      <protection hidden="1"/>
    </xf>
    <xf numFmtId="0" fontId="45" fillId="47" borderId="67" xfId="0" applyFont="1" applyFill="1" applyBorder="1" applyAlignment="1" applyProtection="1">
      <alignment horizontal="center" vertical="center" wrapText="1"/>
      <protection hidden="1"/>
    </xf>
    <xf numFmtId="0" fontId="107" fillId="33" borderId="0" xfId="0" applyFont="1" applyFill="1" applyBorder="1" applyAlignment="1" applyProtection="1">
      <alignment horizontal="center" vertical="center" wrapText="1"/>
      <protection hidden="1"/>
    </xf>
    <xf numFmtId="14" fontId="10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0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textRotation="255" wrapText="1"/>
      <protection hidden="1"/>
    </xf>
    <xf numFmtId="0" fontId="110" fillId="0" borderId="0" xfId="0" applyFont="1" applyAlignment="1">
      <alignment horizontal="center" vertical="center" textRotation="255"/>
    </xf>
    <xf numFmtId="0" fontId="8" fillId="0" borderId="0" xfId="0" applyFont="1" applyAlignment="1" applyProtection="1">
      <alignment horizontal="center" vertical="center" wrapText="1"/>
      <protection hidden="1"/>
    </xf>
    <xf numFmtId="0" fontId="110" fillId="0" borderId="0" xfId="0" applyFont="1" applyAlignment="1">
      <alignment horizontal="center" vertical="center"/>
    </xf>
    <xf numFmtId="14" fontId="51" fillId="0" borderId="0" xfId="0" applyNumberFormat="1" applyFont="1" applyFill="1" applyAlignment="1" applyProtection="1">
      <alignment horizontal="center" vertical="center"/>
      <protection hidden="1"/>
    </xf>
    <xf numFmtId="0" fontId="111" fillId="0" borderId="0" xfId="0" applyFont="1" applyAlignment="1">
      <alignment horizontal="center" vertical="center"/>
    </xf>
    <xf numFmtId="0" fontId="51" fillId="0" borderId="0" xfId="0" applyNumberFormat="1" applyFont="1" applyFill="1" applyAlignment="1" applyProtection="1">
      <alignment horizontal="center" vertical="center"/>
      <protection hidden="1"/>
    </xf>
    <xf numFmtId="0" fontId="111" fillId="0" borderId="0" xfId="0" applyNumberFormat="1" applyFont="1" applyAlignment="1">
      <alignment horizontal="center" vertical="center"/>
    </xf>
    <xf numFmtId="0" fontId="34" fillId="10" borderId="102" xfId="0" applyFont="1" applyFill="1" applyBorder="1" applyAlignment="1">
      <alignment horizontal="center" vertical="top" wrapText="1"/>
    </xf>
    <xf numFmtId="0" fontId="105" fillId="0" borderId="102" xfId="0" applyFont="1" applyBorder="1" applyAlignment="1">
      <alignment horizontal="center" vertical="top" wrapText="1"/>
    </xf>
    <xf numFmtId="0" fontId="105" fillId="0" borderId="103" xfId="0" applyFont="1" applyBorder="1" applyAlignment="1">
      <alignment horizontal="center" vertical="top" wrapText="1"/>
    </xf>
    <xf numFmtId="0" fontId="8" fillId="0" borderId="0" xfId="0" applyFont="1" applyAlignment="1" applyProtection="1">
      <alignment horizontal="center" vertical="center" textRotation="255"/>
      <protection hidden="1"/>
    </xf>
    <xf numFmtId="0" fontId="1" fillId="0" borderId="0" xfId="0" applyFont="1" applyAlignment="1">
      <alignment horizontal="center" vertical="center"/>
    </xf>
    <xf numFmtId="0" fontId="30" fillId="55" borderId="104" xfId="0" applyFont="1" applyFill="1" applyBorder="1" applyAlignment="1" applyProtection="1">
      <alignment horizontal="center" vertical="center" wrapText="1"/>
      <protection hidden="1"/>
    </xf>
    <xf numFmtId="0" fontId="30" fillId="55" borderId="105" xfId="0" applyFont="1" applyFill="1" applyBorder="1" applyAlignment="1" applyProtection="1">
      <alignment horizontal="center" vertical="center" wrapText="1"/>
      <protection hidden="1"/>
    </xf>
    <xf numFmtId="0" fontId="30" fillId="55" borderId="106" xfId="0" applyFont="1" applyFill="1" applyBorder="1" applyAlignment="1" applyProtection="1">
      <alignment horizontal="center" vertical="center" wrapText="1"/>
      <protection hidden="1"/>
    </xf>
    <xf numFmtId="0" fontId="31" fillId="46" borderId="107" xfId="0" applyFont="1" applyFill="1" applyBorder="1" applyAlignment="1" applyProtection="1">
      <alignment horizontal="center" vertical="center" wrapText="1"/>
      <protection hidden="1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48" fillId="23" borderId="0" xfId="0" applyFont="1" applyFill="1" applyAlignment="1" applyProtection="1">
      <alignment horizontal="left" wrapText="1"/>
      <protection hidden="1"/>
    </xf>
    <xf numFmtId="0" fontId="5" fillId="23" borderId="0" xfId="0" applyFont="1" applyFill="1" applyAlignment="1" applyProtection="1">
      <alignment horizontal="left"/>
      <protection hidden="1"/>
    </xf>
    <xf numFmtId="0" fontId="49" fillId="23" borderId="0" xfId="0" applyFont="1" applyFill="1" applyAlignment="1" applyProtection="1">
      <alignment horizontal="left" wrapText="1"/>
      <protection hidden="1"/>
    </xf>
    <xf numFmtId="0" fontId="18" fillId="23" borderId="0" xfId="0" applyFont="1" applyFill="1" applyAlignment="1" applyProtection="1">
      <alignment horizontal="left" wrapText="1"/>
      <protection hidden="1"/>
    </xf>
    <xf numFmtId="0" fontId="112" fillId="47" borderId="110" xfId="0" applyFont="1" applyFill="1" applyBorder="1" applyAlignment="1" applyProtection="1">
      <alignment horizontal="left" vertical="center" wrapText="1" indent="1"/>
      <protection hidden="1"/>
    </xf>
    <xf numFmtId="0" fontId="113" fillId="0" borderId="111" xfId="0" applyFont="1" applyBorder="1" applyAlignment="1">
      <alignment horizontal="left" vertical="center" wrapText="1" indent="1"/>
    </xf>
    <xf numFmtId="0" fontId="113" fillId="0" borderId="112" xfId="0" applyFont="1" applyBorder="1" applyAlignment="1">
      <alignment horizontal="left" vertical="center" wrapText="1" indent="1"/>
    </xf>
    <xf numFmtId="0" fontId="112" fillId="47" borderId="113" xfId="0" applyFont="1" applyFill="1" applyBorder="1" applyAlignment="1" applyProtection="1">
      <alignment horizontal="left" vertical="center" wrapText="1" indent="1"/>
      <protection hidden="1"/>
    </xf>
    <xf numFmtId="0" fontId="113" fillId="0" borderId="114" xfId="0" applyFont="1" applyBorder="1" applyAlignment="1">
      <alignment horizontal="left" vertical="center" wrapText="1" indent="1"/>
    </xf>
    <xf numFmtId="0" fontId="113" fillId="0" borderId="115" xfId="0" applyFont="1" applyBorder="1" applyAlignment="1">
      <alignment horizontal="left" vertical="center" wrapText="1" indent="1"/>
    </xf>
    <xf numFmtId="0" fontId="34" fillId="10" borderId="116" xfId="0" applyFont="1" applyFill="1" applyBorder="1" applyAlignment="1">
      <alignment horizontal="center" vertical="top" wrapText="1"/>
    </xf>
    <xf numFmtId="0" fontId="8" fillId="10" borderId="102" xfId="0" applyFont="1" applyFill="1" applyBorder="1" applyAlignment="1" applyProtection="1">
      <alignment horizontal="center" vertical="center" wrapText="1"/>
      <protection hidden="1"/>
    </xf>
    <xf numFmtId="0" fontId="0" fillId="0" borderId="102" xfId="0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0" fontId="8" fillId="10" borderId="120" xfId="0" applyFont="1" applyFill="1" applyBorder="1" applyAlignment="1" applyProtection="1">
      <alignment horizontal="center" vertical="center" wrapText="1"/>
      <protection hidden="1"/>
    </xf>
    <xf numFmtId="0" fontId="8" fillId="10" borderId="121" xfId="0" applyFont="1" applyFill="1" applyBorder="1" applyAlignment="1" applyProtection="1">
      <alignment horizontal="center" vertical="center" wrapText="1"/>
      <protection hidden="1"/>
    </xf>
    <xf numFmtId="0" fontId="16" fillId="23" borderId="0" xfId="0" applyFont="1" applyFill="1" applyAlignment="1" applyProtection="1">
      <alignment horizontal="left" vertical="top" wrapText="1"/>
      <protection hidden="1"/>
    </xf>
    <xf numFmtId="0" fontId="29" fillId="23" borderId="0" xfId="0" applyFont="1" applyFill="1" applyAlignment="1" applyProtection="1">
      <alignment horizontal="left" vertical="top" wrapText="1"/>
      <protection hidden="1"/>
    </xf>
    <xf numFmtId="0" fontId="0" fillId="23" borderId="0" xfId="0" applyFill="1" applyAlignment="1" applyProtection="1">
      <alignment/>
      <protection hidden="1"/>
    </xf>
    <xf numFmtId="0" fontId="0" fillId="23" borderId="0" xfId="0" applyFill="1" applyAlignment="1">
      <alignment vertical="center"/>
    </xf>
    <xf numFmtId="0" fontId="8" fillId="23" borderId="0" xfId="0" applyFont="1" applyFill="1" applyAlignment="1" applyProtection="1">
      <alignment horizontal="left" vertical="top" wrapText="1"/>
      <protection hidden="1"/>
    </xf>
    <xf numFmtId="0" fontId="0" fillId="23" borderId="0" xfId="0" applyFill="1" applyAlignment="1">
      <alignment vertical="top"/>
    </xf>
    <xf numFmtId="0" fontId="114" fillId="23" borderId="0" xfId="0" applyFont="1" applyFill="1" applyAlignment="1" applyProtection="1">
      <alignment horizontal="left" vertical="top" wrapText="1"/>
      <protection hidden="1"/>
    </xf>
    <xf numFmtId="0" fontId="115" fillId="23" borderId="0" xfId="0" applyFont="1" applyFill="1" applyAlignment="1">
      <alignment vertical="top" wrapText="1"/>
    </xf>
    <xf numFmtId="0" fontId="97" fillId="23" borderId="0" xfId="0" applyFont="1" applyFill="1" applyAlignment="1" applyProtection="1">
      <alignment horizontal="left" vertical="top" wrapText="1"/>
      <protection hidden="1"/>
    </xf>
    <xf numFmtId="0" fontId="0" fillId="23" borderId="0" xfId="0" applyFont="1" applyFill="1" applyAlignment="1">
      <alignment vertical="top" wrapText="1"/>
    </xf>
    <xf numFmtId="0" fontId="8" fillId="23" borderId="0" xfId="0" applyFont="1" applyFill="1" applyAlignment="1" applyProtection="1">
      <alignment horizontal="left" wrapText="1"/>
      <protection hidden="1"/>
    </xf>
    <xf numFmtId="0" fontId="0" fillId="23" borderId="0" xfId="0" applyFill="1" applyAlignment="1">
      <alignment vertical="center" wrapText="1"/>
    </xf>
    <xf numFmtId="0" fontId="112" fillId="47" borderId="122" xfId="0" applyFont="1" applyFill="1" applyBorder="1" applyAlignment="1" applyProtection="1">
      <alignment horizontal="left" vertical="center" wrapText="1" indent="1"/>
      <protection hidden="1"/>
    </xf>
    <xf numFmtId="0" fontId="113" fillId="0" borderId="123" xfId="0" applyFont="1" applyBorder="1" applyAlignment="1">
      <alignment horizontal="left" vertical="center" wrapText="1" indent="1"/>
    </xf>
    <xf numFmtId="0" fontId="113" fillId="0" borderId="124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25" fillId="36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125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textRotation="255"/>
      <protection hidden="1"/>
    </xf>
    <xf numFmtId="0" fontId="8" fillId="0" borderId="0" xfId="0" applyFont="1" applyAlignment="1">
      <alignment vertical="center" textRotation="255"/>
    </xf>
    <xf numFmtId="0" fontId="1" fillId="0" borderId="0" xfId="0" applyFont="1" applyAlignment="1">
      <alignment vertical="center"/>
    </xf>
    <xf numFmtId="0" fontId="38" fillId="56" borderId="126" xfId="0" applyFont="1" applyFill="1" applyBorder="1" applyAlignment="1" applyProtection="1">
      <alignment horizontal="left" vertical="center"/>
      <protection hidden="1"/>
    </xf>
    <xf numFmtId="0" fontId="38" fillId="56" borderId="127" xfId="0" applyFont="1" applyFill="1" applyBorder="1" applyAlignment="1" applyProtection="1">
      <alignment horizontal="left" vertical="center"/>
      <protection hidden="1"/>
    </xf>
    <xf numFmtId="0" fontId="38" fillId="56" borderId="128" xfId="0" applyFont="1" applyFill="1" applyBorder="1" applyAlignment="1" applyProtection="1">
      <alignment horizontal="left" vertical="center"/>
      <protection hidden="1"/>
    </xf>
    <xf numFmtId="0" fontId="38" fillId="56" borderId="129" xfId="0" applyFont="1" applyFill="1" applyBorder="1" applyAlignment="1" applyProtection="1">
      <alignment horizontal="left" vertical="center"/>
      <protection hidden="1"/>
    </xf>
    <xf numFmtId="0" fontId="38" fillId="56" borderId="0" xfId="0" applyFont="1" applyFill="1" applyBorder="1" applyAlignment="1" applyProtection="1">
      <alignment horizontal="left" vertical="center"/>
      <protection hidden="1"/>
    </xf>
    <xf numFmtId="0" fontId="38" fillId="56" borderId="130" xfId="0" applyFont="1" applyFill="1" applyBorder="1" applyAlignment="1" applyProtection="1">
      <alignment horizontal="left" vertical="center"/>
      <protection hidden="1"/>
    </xf>
    <xf numFmtId="0" fontId="38" fillId="56" borderId="131" xfId="0" applyFont="1" applyFill="1" applyBorder="1" applyAlignment="1" applyProtection="1">
      <alignment horizontal="left" vertical="center"/>
      <protection hidden="1"/>
    </xf>
    <xf numFmtId="0" fontId="38" fillId="56" borderId="132" xfId="0" applyFont="1" applyFill="1" applyBorder="1" applyAlignment="1" applyProtection="1">
      <alignment horizontal="left" vertical="center"/>
      <protection hidden="1"/>
    </xf>
    <xf numFmtId="0" fontId="38" fillId="56" borderId="133" xfId="0" applyFont="1" applyFill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 wrapText="1" shrinkToFit="1"/>
      <protection hidden="1"/>
    </xf>
    <xf numFmtId="0" fontId="8" fillId="0" borderId="0" xfId="0" applyFont="1" applyAlignment="1">
      <alignment horizontal="center" vertical="center" wrapText="1" shrinkToFit="1"/>
    </xf>
    <xf numFmtId="0" fontId="8" fillId="38" borderId="0" xfId="0" applyFont="1" applyFill="1" applyAlignment="1" applyProtection="1">
      <alignment horizontal="left" vertical="top" wrapText="1"/>
      <protection hidden="1"/>
    </xf>
    <xf numFmtId="0" fontId="0" fillId="23" borderId="0" xfId="0" applyFill="1" applyAlignment="1" applyProtection="1">
      <alignment horizontal="left"/>
      <protection hidden="1"/>
    </xf>
    <xf numFmtId="0" fontId="8" fillId="10" borderId="134" xfId="0" applyFont="1" applyFill="1" applyBorder="1" applyAlignment="1" applyProtection="1">
      <alignment horizontal="center" vertical="center" wrapText="1"/>
      <protection hidden="1"/>
    </xf>
    <xf numFmtId="0" fontId="8" fillId="10" borderId="135" xfId="0" applyFont="1" applyFill="1" applyBorder="1" applyAlignment="1" applyProtection="1">
      <alignment horizontal="center" vertical="center" wrapText="1"/>
      <protection hidden="1"/>
    </xf>
    <xf numFmtId="0" fontId="31" fillId="43" borderId="136" xfId="0" applyFont="1" applyFill="1" applyBorder="1" applyAlignment="1" applyProtection="1">
      <alignment horizontal="center" vertical="center" wrapText="1"/>
      <protection hidden="1"/>
    </xf>
    <xf numFmtId="0" fontId="0" fillId="0" borderId="137" xfId="0" applyBorder="1" applyAlignment="1">
      <alignment vertical="center"/>
    </xf>
    <xf numFmtId="0" fontId="0" fillId="0" borderId="13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32" xfId="0" applyBorder="1" applyAlignment="1">
      <alignment vertical="center"/>
    </xf>
    <xf numFmtId="0" fontId="0" fillId="0" borderId="139" xfId="0" applyBorder="1" applyAlignment="1">
      <alignment vertical="center"/>
    </xf>
    <xf numFmtId="0" fontId="21" fillId="36" borderId="0" xfId="0" applyFont="1" applyFill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 wrapText="1"/>
    </xf>
    <xf numFmtId="0" fontId="22" fillId="0" borderId="125" xfId="0" applyFont="1" applyBorder="1" applyAlignment="1">
      <alignment vertical="center" wrapText="1"/>
    </xf>
    <xf numFmtId="0" fontId="41" fillId="46" borderId="140" xfId="0" applyFont="1" applyFill="1" applyBorder="1" applyAlignment="1" applyProtection="1">
      <alignment horizontal="center" vertical="center" wrapText="1"/>
      <protection hidden="1"/>
    </xf>
    <xf numFmtId="0" fontId="41" fillId="46" borderId="123" xfId="0" applyFont="1" applyFill="1" applyBorder="1" applyAlignment="1" applyProtection="1">
      <alignment horizontal="center" vertical="center" wrapText="1"/>
      <protection hidden="1"/>
    </xf>
    <xf numFmtId="0" fontId="41" fillId="46" borderId="141" xfId="0" applyFont="1" applyFill="1" applyBorder="1" applyAlignment="1" applyProtection="1">
      <alignment horizontal="center" vertical="center" wrapText="1"/>
      <protection hidden="1"/>
    </xf>
    <xf numFmtId="0" fontId="41" fillId="46" borderId="129" xfId="0" applyFont="1" applyFill="1" applyBorder="1" applyAlignment="1" applyProtection="1">
      <alignment horizontal="center" vertical="center" wrapText="1"/>
      <protection hidden="1"/>
    </xf>
    <xf numFmtId="0" fontId="41" fillId="46" borderId="0" xfId="0" applyFont="1" applyFill="1" applyBorder="1" applyAlignment="1" applyProtection="1">
      <alignment horizontal="center" vertical="center" wrapText="1"/>
      <protection hidden="1"/>
    </xf>
    <xf numFmtId="0" fontId="41" fillId="46" borderId="142" xfId="0" applyFont="1" applyFill="1" applyBorder="1" applyAlignment="1" applyProtection="1">
      <alignment horizontal="center" vertical="center" wrapText="1"/>
      <protection hidden="1"/>
    </xf>
    <xf numFmtId="0" fontId="41" fillId="46" borderId="143" xfId="0" applyFont="1" applyFill="1" applyBorder="1" applyAlignment="1" applyProtection="1">
      <alignment horizontal="center" vertical="center" wrapText="1"/>
      <protection hidden="1"/>
    </xf>
    <xf numFmtId="0" fontId="41" fillId="46" borderId="118" xfId="0" applyFont="1" applyFill="1" applyBorder="1" applyAlignment="1" applyProtection="1">
      <alignment horizontal="center" vertical="center" wrapText="1"/>
      <protection hidden="1"/>
    </xf>
    <xf numFmtId="0" fontId="41" fillId="46" borderId="144" xfId="0" applyFont="1" applyFill="1" applyBorder="1" applyAlignment="1" applyProtection="1">
      <alignment horizontal="center" vertical="center" wrapText="1"/>
      <protection hidden="1"/>
    </xf>
    <xf numFmtId="0" fontId="14" fillId="23" borderId="0" xfId="0" applyFont="1" applyFill="1" applyAlignment="1" applyProtection="1">
      <alignment horizontal="right" vertical="top" wrapText="1"/>
      <protection hidden="1"/>
    </xf>
    <xf numFmtId="0" fontId="48" fillId="23" borderId="0" xfId="0" applyFont="1" applyFill="1" applyAlignment="1" applyProtection="1">
      <alignment horizontal="distributed" vertical="top" wrapText="1"/>
      <protection hidden="1"/>
    </xf>
    <xf numFmtId="0" fontId="30" fillId="23" borderId="0" xfId="0" applyFont="1" applyFill="1" applyAlignment="1" applyProtection="1">
      <alignment horizontal="distributed" vertical="top" wrapText="1"/>
      <protection hidden="1"/>
    </xf>
    <xf numFmtId="0" fontId="14" fillId="23" borderId="0" xfId="0" applyFont="1" applyFill="1" applyAlignment="1" applyProtection="1">
      <alignment horizontal="left" vertical="center" wrapText="1"/>
      <protection hidden="1"/>
    </xf>
    <xf numFmtId="0" fontId="3" fillId="23" borderId="0" xfId="0" applyFont="1" applyFill="1" applyAlignment="1">
      <alignment horizontal="left" vertical="center" wrapText="1"/>
    </xf>
    <xf numFmtId="0" fontId="14" fillId="23" borderId="0" xfId="0" applyFont="1" applyFill="1" applyAlignment="1" applyProtection="1">
      <alignment horizontal="right" vertical="center" wrapText="1"/>
      <protection hidden="1"/>
    </xf>
    <xf numFmtId="0" fontId="54" fillId="23" borderId="0" xfId="0" applyFont="1" applyFill="1" applyAlignment="1" applyProtection="1">
      <alignment horizontal="left" vertical="top" wrapText="1"/>
      <protection hidden="1"/>
    </xf>
    <xf numFmtId="0" fontId="52" fillId="36" borderId="14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6" xfId="0" applyBorder="1" applyAlignment="1">
      <alignment vertical="center"/>
    </xf>
    <xf numFmtId="0" fontId="0" fillId="0" borderId="147" xfId="0" applyBorder="1" applyAlignment="1">
      <alignment vertical="center"/>
    </xf>
    <xf numFmtId="0" fontId="0" fillId="0" borderId="148" xfId="0" applyBorder="1" applyAlignment="1">
      <alignment vertical="center"/>
    </xf>
    <xf numFmtId="0" fontId="0" fillId="0" borderId="149" xfId="0" applyBorder="1" applyAlignment="1">
      <alignment vertical="center"/>
    </xf>
    <xf numFmtId="0" fontId="0" fillId="0" borderId="150" xfId="0" applyBorder="1" applyAlignment="1">
      <alignment vertical="center"/>
    </xf>
    <xf numFmtId="0" fontId="0" fillId="23" borderId="0" xfId="0" applyFill="1" applyAlignment="1" applyProtection="1">
      <alignment horizontal="left" vertical="top" wrapText="1"/>
      <protection hidden="1"/>
    </xf>
    <xf numFmtId="0" fontId="0" fillId="23" borderId="0" xfId="0" applyFill="1" applyAlignment="1">
      <alignment horizontal="left" vertical="top" wrapText="1"/>
    </xf>
    <xf numFmtId="0" fontId="8" fillId="42" borderId="0" xfId="0" applyFont="1" applyFill="1" applyAlignment="1">
      <alignment horizontal="center" vertical="center"/>
    </xf>
    <xf numFmtId="0" fontId="16" fillId="42" borderId="0" xfId="0" applyFont="1" applyFill="1" applyAlignment="1" applyProtection="1">
      <alignment horizontal="center" vertical="center" wrapText="1" shrinkToFit="1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38" borderId="0" xfId="0" applyFont="1" applyFill="1" applyAlignment="1" applyProtection="1">
      <alignment horizontal="center" vertical="center" wrapText="1" shrinkToFit="1"/>
      <protection hidden="1"/>
    </xf>
    <xf numFmtId="0" fontId="9" fillId="0" borderId="0" xfId="0" applyFont="1" applyAlignment="1">
      <alignment horizontal="center" vertical="center"/>
    </xf>
    <xf numFmtId="0" fontId="9" fillId="40" borderId="0" xfId="0" applyFont="1" applyFill="1" applyAlignment="1" applyProtection="1">
      <alignment horizontal="center" vertical="center" wrapText="1" shrinkToFit="1"/>
      <protection hidden="1"/>
    </xf>
    <xf numFmtId="0" fontId="1" fillId="0" borderId="0" xfId="0" applyFont="1" applyAlignment="1">
      <alignment horizontal="center" vertical="center" wrapText="1" shrinkToFit="1"/>
    </xf>
    <xf numFmtId="0" fontId="31" fillId="35" borderId="151" xfId="0" applyFont="1" applyFill="1" applyBorder="1" applyAlignment="1" applyProtection="1">
      <alignment horizontal="center" vertical="center" wrapText="1"/>
      <protection hidden="1"/>
    </xf>
    <xf numFmtId="0" fontId="0" fillId="0" borderId="152" xfId="0" applyBorder="1" applyAlignment="1">
      <alignment vertical="center"/>
    </xf>
    <xf numFmtId="0" fontId="31" fillId="45" borderId="151" xfId="0" applyFont="1" applyFill="1" applyBorder="1" applyAlignment="1" applyProtection="1">
      <alignment horizontal="center" vertical="center" wrapText="1" shrinkToFit="1"/>
      <protection hidden="1"/>
    </xf>
    <xf numFmtId="0" fontId="0" fillId="0" borderId="153" xfId="0" applyBorder="1" applyAlignment="1">
      <alignment vertical="center"/>
    </xf>
    <xf numFmtId="0" fontId="0" fillId="0" borderId="133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0" fillId="55" borderId="54" xfId="0" applyFont="1" applyFill="1" applyBorder="1" applyAlignment="1" applyProtection="1">
      <alignment horizontal="center" vertical="center" wrapText="1"/>
      <protection hidden="1"/>
    </xf>
    <xf numFmtId="0" fontId="30" fillId="55" borderId="98" xfId="0" applyFont="1" applyFill="1" applyBorder="1" applyAlignment="1" applyProtection="1">
      <alignment horizontal="center" vertical="center" wrapText="1"/>
      <protection hidden="1"/>
    </xf>
    <xf numFmtId="0" fontId="30" fillId="55" borderId="154" xfId="0" applyFont="1" applyFill="1" applyBorder="1" applyAlignment="1" applyProtection="1">
      <alignment horizontal="center" vertical="center" wrapText="1"/>
      <protection hidden="1"/>
    </xf>
    <xf numFmtId="0" fontId="8" fillId="39" borderId="0" xfId="0" applyFont="1" applyFill="1" applyAlignment="1" applyProtection="1">
      <alignment horizontal="center" vertical="center" wrapText="1" shrinkToFit="1"/>
      <protection hidden="1"/>
    </xf>
    <xf numFmtId="0" fontId="8" fillId="41" borderId="0" xfId="0" applyFont="1" applyFill="1" applyAlignment="1" applyProtection="1">
      <alignment horizontal="center" vertical="center" wrapText="1" shrinkToFit="1"/>
      <protection hidden="1"/>
    </xf>
    <xf numFmtId="0" fontId="8" fillId="44" borderId="0" xfId="0" applyFont="1" applyFill="1" applyAlignment="1" applyProtection="1">
      <alignment horizontal="center" vertical="center" textRotation="255"/>
      <protection hidden="1"/>
    </xf>
    <xf numFmtId="0" fontId="8" fillId="44" borderId="0" xfId="0" applyFont="1" applyFill="1" applyAlignment="1">
      <alignment horizontal="center" vertical="center" textRotation="255"/>
    </xf>
    <xf numFmtId="0" fontId="8" fillId="44" borderId="0" xfId="0" applyFont="1" applyFill="1" applyAlignment="1">
      <alignment horizontal="center" vertical="center"/>
    </xf>
    <xf numFmtId="0" fontId="9" fillId="0" borderId="0" xfId="0" applyFont="1" applyBorder="1" applyAlignment="1" applyProtection="1">
      <alignment wrapText="1" shrinkToFit="1"/>
      <protection hidden="1"/>
    </xf>
    <xf numFmtId="0" fontId="27" fillId="0" borderId="0" xfId="0" applyFont="1" applyBorder="1" applyAlignment="1" applyProtection="1">
      <alignment wrapText="1" shrinkToFit="1"/>
      <protection hidden="1"/>
    </xf>
    <xf numFmtId="0" fontId="8" fillId="40" borderId="0" xfId="0" applyFont="1" applyFill="1" applyAlignment="1">
      <alignment horizontal="center" vertical="center"/>
    </xf>
    <xf numFmtId="0" fontId="26" fillId="36" borderId="155" xfId="0" applyFont="1" applyFill="1" applyBorder="1" applyAlignment="1" applyProtection="1">
      <alignment horizontal="left" vertical="center" wrapText="1"/>
      <protection hidden="1"/>
    </xf>
    <xf numFmtId="0" fontId="26" fillId="36" borderId="0" xfId="0" applyFont="1" applyFill="1" applyBorder="1" applyAlignment="1" applyProtection="1">
      <alignment horizontal="left" vertical="center" wrapText="1"/>
      <protection hidden="1"/>
    </xf>
    <xf numFmtId="0" fontId="8" fillId="43" borderId="0" xfId="0" applyFont="1" applyFill="1" applyAlignment="1" applyProtection="1">
      <alignment horizontal="center" vertical="center" textRotation="255"/>
      <protection hidden="1"/>
    </xf>
    <xf numFmtId="0" fontId="8" fillId="43" borderId="0" xfId="0" applyFont="1" applyFill="1" applyAlignment="1">
      <alignment horizontal="center" vertical="center" textRotation="255"/>
    </xf>
    <xf numFmtId="0" fontId="8" fillId="43" borderId="0" xfId="0" applyFont="1" applyFill="1" applyAlignment="1" applyProtection="1">
      <alignment horizontal="center" vertical="center" wrapText="1" shrinkToFit="1"/>
      <protection hidden="1"/>
    </xf>
    <xf numFmtId="0" fontId="1" fillId="43" borderId="0" xfId="0" applyFont="1" applyFill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 wrapText="1" shrinkToFit="1"/>
      <protection hidden="1"/>
    </xf>
    <xf numFmtId="0" fontId="27" fillId="0" borderId="0" xfId="0" applyFont="1" applyBorder="1" applyAlignment="1" applyProtection="1">
      <alignment horizontal="center" vertical="center" wrapText="1" shrinkToFit="1"/>
      <protection hidden="1"/>
    </xf>
    <xf numFmtId="0" fontId="1" fillId="0" borderId="0" xfId="0" applyFont="1" applyBorder="1" applyAlignment="1">
      <alignment horizontal="center" vertical="center" wrapText="1" shrinkToFit="1"/>
    </xf>
    <xf numFmtId="0" fontId="8" fillId="52" borderId="156" xfId="0" applyFont="1" applyFill="1" applyBorder="1" applyAlignment="1" applyProtection="1">
      <alignment horizontal="center" vertical="center" wrapText="1"/>
      <protection hidden="1"/>
    </xf>
    <xf numFmtId="0" fontId="8" fillId="52" borderId="157" xfId="0" applyFont="1" applyFill="1" applyBorder="1" applyAlignment="1" applyProtection="1">
      <alignment horizontal="center" vertical="center" wrapText="1"/>
      <protection hidden="1"/>
    </xf>
    <xf numFmtId="0" fontId="8" fillId="52" borderId="158" xfId="0" applyFont="1" applyFill="1" applyBorder="1" applyAlignment="1" applyProtection="1">
      <alignment horizontal="center" vertical="center" wrapText="1"/>
      <protection hidden="1"/>
    </xf>
    <xf numFmtId="0" fontId="8" fillId="52" borderId="159" xfId="0" applyFont="1" applyFill="1" applyBorder="1" applyAlignment="1" applyProtection="1">
      <alignment horizontal="center" vertical="center" wrapText="1"/>
      <protection hidden="1"/>
    </xf>
    <xf numFmtId="0" fontId="8" fillId="52" borderId="132" xfId="0" applyFont="1" applyFill="1" applyBorder="1" applyAlignment="1" applyProtection="1">
      <alignment horizontal="center" vertical="center" wrapText="1"/>
      <protection hidden="1"/>
    </xf>
    <xf numFmtId="0" fontId="8" fillId="52" borderId="160" xfId="0" applyFont="1" applyFill="1" applyBorder="1" applyAlignment="1" applyProtection="1">
      <alignment horizontal="center" vertical="center" wrapText="1"/>
      <protection hidden="1"/>
    </xf>
    <xf numFmtId="0" fontId="112" fillId="47" borderId="161" xfId="0" applyFont="1" applyFill="1" applyBorder="1" applyAlignment="1" applyProtection="1">
      <alignment horizontal="left" vertical="center" wrapText="1" indent="1"/>
      <protection hidden="1"/>
    </xf>
    <xf numFmtId="0" fontId="113" fillId="0" borderId="157" xfId="0" applyFont="1" applyBorder="1" applyAlignment="1">
      <alignment horizontal="left" vertical="center" wrapText="1" indent="1"/>
    </xf>
    <xf numFmtId="0" fontId="113" fillId="0" borderId="162" xfId="0" applyFont="1" applyBorder="1" applyAlignment="1">
      <alignment horizontal="left" vertical="center" wrapText="1" indent="1"/>
    </xf>
    <xf numFmtId="0" fontId="112" fillId="47" borderId="163" xfId="0" applyFont="1" applyFill="1" applyBorder="1" applyAlignment="1" applyProtection="1">
      <alignment horizontal="left" vertical="center" wrapText="1" indent="1"/>
      <protection hidden="1"/>
    </xf>
    <xf numFmtId="0" fontId="113" fillId="0" borderId="164" xfId="0" applyFont="1" applyBorder="1" applyAlignment="1">
      <alignment horizontal="left" vertical="center" wrapText="1" indent="1"/>
    </xf>
    <xf numFmtId="0" fontId="113" fillId="0" borderId="165" xfId="0" applyFont="1" applyBorder="1" applyAlignment="1">
      <alignment horizontal="left" vertical="center" wrapText="1" indent="1"/>
    </xf>
    <xf numFmtId="0" fontId="112" fillId="47" borderId="166" xfId="0" applyFont="1" applyFill="1" applyBorder="1" applyAlignment="1" applyProtection="1">
      <alignment horizontal="left" vertical="center" wrapText="1" indent="1"/>
      <protection hidden="1"/>
    </xf>
    <xf numFmtId="0" fontId="113" fillId="0" borderId="132" xfId="0" applyFont="1" applyBorder="1" applyAlignment="1">
      <alignment horizontal="left" vertical="center" wrapText="1" indent="1"/>
    </xf>
    <xf numFmtId="0" fontId="113" fillId="0" borderId="139" xfId="0" applyFont="1" applyBorder="1" applyAlignment="1">
      <alignment horizontal="left" vertical="center" wrapText="1" indent="1"/>
    </xf>
    <xf numFmtId="0" fontId="8" fillId="19" borderId="167" xfId="0" applyFont="1" applyFill="1" applyBorder="1" applyAlignment="1" applyProtection="1">
      <alignment horizontal="center" vertical="center" wrapText="1"/>
      <protection hidden="1"/>
    </xf>
    <xf numFmtId="0" fontId="8" fillId="19" borderId="0" xfId="0" applyFont="1" applyFill="1" applyBorder="1" applyAlignment="1" applyProtection="1">
      <alignment horizontal="center" vertical="center" wrapText="1"/>
      <protection hidden="1"/>
    </xf>
    <xf numFmtId="0" fontId="8" fillId="19" borderId="142" xfId="0" applyFont="1" applyFill="1" applyBorder="1" applyAlignment="1" applyProtection="1">
      <alignment horizontal="center" vertical="center" wrapText="1"/>
      <protection hidden="1"/>
    </xf>
    <xf numFmtId="0" fontId="8" fillId="52" borderId="168" xfId="0" applyFont="1" applyFill="1" applyBorder="1" applyAlignment="1" applyProtection="1">
      <alignment horizontal="center" vertical="center" wrapText="1"/>
      <protection hidden="1"/>
    </xf>
    <xf numFmtId="0" fontId="8" fillId="52" borderId="169" xfId="0" applyFont="1" applyFill="1" applyBorder="1" applyAlignment="1" applyProtection="1">
      <alignment horizontal="center" vertical="center" wrapText="1"/>
      <protection hidden="1"/>
    </xf>
    <xf numFmtId="0" fontId="8" fillId="52" borderId="17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97" fillId="33" borderId="0" xfId="0" applyFont="1" applyFill="1" applyBorder="1" applyAlignment="1" applyProtection="1">
      <alignment horizontal="center" vertical="center" wrapText="1"/>
      <protection hidden="1"/>
    </xf>
    <xf numFmtId="0" fontId="23" fillId="33" borderId="0" xfId="0" applyFont="1" applyFill="1" applyBorder="1" applyAlignment="1" applyProtection="1">
      <alignment horizontal="center" vertical="center" wrapText="1"/>
      <protection hidden="1"/>
    </xf>
    <xf numFmtId="0" fontId="8" fillId="51" borderId="159" xfId="0" applyFont="1" applyFill="1" applyBorder="1" applyAlignment="1" applyProtection="1">
      <alignment horizontal="center" vertical="center" wrapText="1"/>
      <protection hidden="1"/>
    </xf>
    <xf numFmtId="0" fontId="8" fillId="51" borderId="132" xfId="0" applyFont="1" applyFill="1" applyBorder="1" applyAlignment="1" applyProtection="1">
      <alignment horizontal="center" vertical="center" wrapText="1"/>
      <protection hidden="1"/>
    </xf>
    <xf numFmtId="0" fontId="8" fillId="51" borderId="160" xfId="0" applyFont="1" applyFill="1" applyBorder="1" applyAlignment="1" applyProtection="1">
      <alignment horizontal="center" vertical="center" wrapText="1"/>
      <protection hidden="1"/>
    </xf>
    <xf numFmtId="0" fontId="8" fillId="51" borderId="167" xfId="0" applyFont="1" applyFill="1" applyBorder="1" applyAlignment="1" applyProtection="1">
      <alignment horizontal="center" vertical="center" wrapText="1"/>
      <protection hidden="1"/>
    </xf>
    <xf numFmtId="0" fontId="8" fillId="51" borderId="0" xfId="0" applyFont="1" applyFill="1" applyBorder="1" applyAlignment="1" applyProtection="1">
      <alignment horizontal="center" vertical="center" wrapText="1"/>
      <protection hidden="1"/>
    </xf>
    <xf numFmtId="0" fontId="8" fillId="51" borderId="142" xfId="0" applyFont="1" applyFill="1" applyBorder="1" applyAlignment="1" applyProtection="1">
      <alignment horizontal="center" vertical="center" wrapText="1"/>
      <protection hidden="1"/>
    </xf>
    <xf numFmtId="0" fontId="8" fillId="51" borderId="171" xfId="0" applyFont="1" applyFill="1" applyBorder="1" applyAlignment="1" applyProtection="1">
      <alignment horizontal="center" vertical="center" wrapText="1"/>
      <protection hidden="1"/>
    </xf>
    <xf numFmtId="0" fontId="8" fillId="51" borderId="123" xfId="0" applyFont="1" applyFill="1" applyBorder="1" applyAlignment="1" applyProtection="1">
      <alignment horizontal="center" vertical="center" wrapText="1"/>
      <protection hidden="1"/>
    </xf>
    <xf numFmtId="0" fontId="8" fillId="51" borderId="141" xfId="0" applyFont="1" applyFill="1" applyBorder="1" applyAlignment="1" applyProtection="1">
      <alignment horizontal="center" vertical="center" wrapText="1"/>
      <protection hidden="1"/>
    </xf>
    <xf numFmtId="0" fontId="8" fillId="19" borderId="159" xfId="0" applyFont="1" applyFill="1" applyBorder="1" applyAlignment="1" applyProtection="1">
      <alignment horizontal="center" vertical="center" wrapText="1"/>
      <protection hidden="1"/>
    </xf>
    <xf numFmtId="0" fontId="8" fillId="19" borderId="132" xfId="0" applyFont="1" applyFill="1" applyBorder="1" applyAlignment="1" applyProtection="1">
      <alignment horizontal="center" vertical="center" wrapText="1"/>
      <protection hidden="1"/>
    </xf>
    <xf numFmtId="0" fontId="8" fillId="19" borderId="160" xfId="0" applyFont="1" applyFill="1" applyBorder="1" applyAlignment="1" applyProtection="1">
      <alignment horizontal="center" vertical="center" wrapText="1"/>
      <protection hidden="1"/>
    </xf>
    <xf numFmtId="0" fontId="19" fillId="36" borderId="172" xfId="45" applyFont="1" applyFill="1" applyBorder="1" applyAlignment="1" applyProtection="1">
      <alignment horizontal="center" vertical="center" wrapText="1" shrinkToFit="1"/>
      <protection hidden="1"/>
    </xf>
    <xf numFmtId="0" fontId="19" fillId="36" borderId="173" xfId="45" applyFont="1" applyFill="1" applyBorder="1" applyAlignment="1" applyProtection="1">
      <alignment vertical="center"/>
      <protection hidden="1"/>
    </xf>
    <xf numFmtId="0" fontId="19" fillId="36" borderId="174" xfId="45" applyFont="1" applyFill="1" applyBorder="1" applyAlignment="1" applyProtection="1">
      <alignment vertical="center"/>
      <protection hidden="1"/>
    </xf>
    <xf numFmtId="0" fontId="42" fillId="57" borderId="175" xfId="0" applyFont="1" applyFill="1" applyBorder="1" applyAlignment="1" applyProtection="1">
      <alignment horizontal="left" vertical="center" wrapText="1"/>
      <protection hidden="1"/>
    </xf>
    <xf numFmtId="0" fontId="43" fillId="57" borderId="176" xfId="0" applyFont="1" applyFill="1" applyBorder="1" applyAlignment="1" applyProtection="1">
      <alignment horizontal="left" vertical="center" wrapText="1"/>
      <protection hidden="1"/>
    </xf>
    <xf numFmtId="0" fontId="43" fillId="57" borderId="176" xfId="0" applyFont="1" applyFill="1" applyBorder="1" applyAlignment="1" applyProtection="1">
      <alignment horizontal="left" vertical="center"/>
      <protection hidden="1"/>
    </xf>
    <xf numFmtId="0" fontId="43" fillId="57" borderId="177" xfId="0" applyFont="1" applyFill="1" applyBorder="1" applyAlignment="1" applyProtection="1">
      <alignment horizontal="left" vertical="center"/>
      <protection hidden="1"/>
    </xf>
    <xf numFmtId="0" fontId="47" fillId="33" borderId="41" xfId="0" applyFont="1" applyFill="1" applyBorder="1" applyAlignment="1" applyProtection="1">
      <alignment horizontal="center" vertical="center" wrapText="1"/>
      <protection hidden="1"/>
    </xf>
    <xf numFmtId="0" fontId="47" fillId="0" borderId="11" xfId="0" applyFont="1" applyBorder="1" applyAlignment="1" applyProtection="1">
      <alignment horizontal="center" vertical="center" wrapText="1"/>
      <protection hidden="1"/>
    </xf>
    <xf numFmtId="0" fontId="47" fillId="0" borderId="12" xfId="0" applyFont="1" applyBorder="1" applyAlignment="1" applyProtection="1">
      <alignment horizontal="center" vertical="center" wrapText="1"/>
      <protection hidden="1"/>
    </xf>
    <xf numFmtId="0" fontId="8" fillId="19" borderId="156" xfId="0" applyFont="1" applyFill="1" applyBorder="1" applyAlignment="1" applyProtection="1">
      <alignment horizontal="center" vertical="center" wrapText="1"/>
      <protection hidden="1"/>
    </xf>
    <xf numFmtId="0" fontId="8" fillId="19" borderId="157" xfId="0" applyFont="1" applyFill="1" applyBorder="1" applyAlignment="1" applyProtection="1">
      <alignment horizontal="center" vertical="center" wrapText="1"/>
      <protection hidden="1"/>
    </xf>
    <xf numFmtId="0" fontId="8" fillId="19" borderId="158" xfId="0" applyFont="1" applyFill="1" applyBorder="1" applyAlignment="1" applyProtection="1">
      <alignment horizontal="center" vertical="center" wrapText="1"/>
      <protection hidden="1"/>
    </xf>
    <xf numFmtId="0" fontId="8" fillId="10" borderId="178" xfId="0" applyFont="1" applyFill="1" applyBorder="1" applyAlignment="1" applyProtection="1">
      <alignment horizontal="center" vertical="center" wrapText="1"/>
      <protection hidden="1"/>
    </xf>
    <xf numFmtId="0" fontId="8" fillId="10" borderId="179" xfId="0" applyFont="1" applyFill="1" applyBorder="1" applyAlignment="1" applyProtection="1">
      <alignment horizontal="center" vertical="center" wrapText="1"/>
      <protection hidden="1"/>
    </xf>
    <xf numFmtId="0" fontId="8" fillId="10" borderId="180" xfId="0" applyFont="1" applyFill="1" applyBorder="1" applyAlignment="1" applyProtection="1">
      <alignment horizontal="center" vertical="center" wrapText="1"/>
      <protection hidden="1"/>
    </xf>
    <xf numFmtId="0" fontId="8" fillId="10" borderId="45" xfId="0" applyFont="1" applyFill="1" applyBorder="1" applyAlignment="1" applyProtection="1">
      <alignment horizontal="center" vertical="center" wrapText="1"/>
      <protection hidden="1"/>
    </xf>
    <xf numFmtId="0" fontId="14" fillId="10" borderId="181" xfId="0" applyFont="1" applyFill="1" applyBorder="1" applyAlignment="1" applyProtection="1">
      <alignment horizontal="center" vertical="center" wrapText="1"/>
      <protection hidden="1"/>
    </xf>
    <xf numFmtId="0" fontId="14" fillId="10" borderId="182" xfId="0" applyFont="1" applyFill="1" applyBorder="1" applyAlignment="1" applyProtection="1">
      <alignment horizontal="center" vertical="center" wrapText="1"/>
      <protection hidden="1"/>
    </xf>
    <xf numFmtId="0" fontId="14" fillId="10" borderId="183" xfId="0" applyFont="1" applyFill="1" applyBorder="1" applyAlignment="1" applyProtection="1">
      <alignment horizontal="center" vertical="center" wrapText="1"/>
      <protection hidden="1"/>
    </xf>
    <xf numFmtId="0" fontId="8" fillId="49" borderId="184" xfId="0" applyFont="1" applyFill="1" applyBorder="1" applyAlignment="1" applyProtection="1">
      <alignment horizontal="center" vertical="center" wrapText="1"/>
      <protection hidden="1"/>
    </xf>
    <xf numFmtId="0" fontId="8" fillId="49" borderId="111" xfId="0" applyFont="1" applyFill="1" applyBorder="1" applyAlignment="1" applyProtection="1">
      <alignment horizontal="center" vertical="center" wrapText="1"/>
      <protection hidden="1"/>
    </xf>
    <xf numFmtId="0" fontId="8" fillId="49" borderId="185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7" fillId="40" borderId="186" xfId="45" applyFont="1" applyFill="1" applyBorder="1" applyAlignment="1" applyProtection="1">
      <alignment horizontal="center" vertical="center"/>
      <protection hidden="1"/>
    </xf>
    <xf numFmtId="0" fontId="1" fillId="0" borderId="186" xfId="0" applyFont="1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8" fillId="42" borderId="159" xfId="0" applyFont="1" applyFill="1" applyBorder="1" applyAlignment="1" applyProtection="1">
      <alignment horizontal="center" vertical="center" wrapText="1"/>
      <protection hidden="1"/>
    </xf>
    <xf numFmtId="0" fontId="8" fillId="42" borderId="132" xfId="0" applyFont="1" applyFill="1" applyBorder="1" applyAlignment="1" applyProtection="1">
      <alignment horizontal="center" vertical="center" wrapText="1"/>
      <protection hidden="1"/>
    </xf>
    <xf numFmtId="0" fontId="8" fillId="42" borderId="160" xfId="0" applyFont="1" applyFill="1" applyBorder="1" applyAlignment="1" applyProtection="1">
      <alignment horizontal="center" vertical="center" wrapText="1"/>
      <protection hidden="1"/>
    </xf>
    <xf numFmtId="0" fontId="31" fillId="42" borderId="159" xfId="0" applyFont="1" applyFill="1" applyBorder="1" applyAlignment="1" applyProtection="1">
      <alignment horizontal="center" vertical="center" wrapText="1"/>
      <protection hidden="1"/>
    </xf>
    <xf numFmtId="0" fontId="31" fillId="42" borderId="132" xfId="0" applyFont="1" applyFill="1" applyBorder="1" applyAlignment="1" applyProtection="1">
      <alignment horizontal="center" vertical="center" wrapText="1"/>
      <protection hidden="1"/>
    </xf>
    <xf numFmtId="0" fontId="31" fillId="42" borderId="16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47" borderId="160" xfId="0" applyFont="1" applyFill="1" applyBorder="1" applyAlignment="1" applyProtection="1">
      <alignment horizontal="left" vertical="center" wrapText="1"/>
      <protection hidden="1"/>
    </xf>
    <xf numFmtId="0" fontId="8" fillId="47" borderId="49" xfId="0" applyFont="1" applyFill="1" applyBorder="1" applyAlignment="1" applyProtection="1">
      <alignment vertical="center" wrapText="1"/>
      <protection hidden="1"/>
    </xf>
    <xf numFmtId="0" fontId="8" fillId="47" borderId="43" xfId="0" applyFont="1" applyFill="1" applyBorder="1" applyAlignment="1" applyProtection="1">
      <alignment vertical="center" wrapText="1"/>
      <protection hidden="1"/>
    </xf>
    <xf numFmtId="0" fontId="13" fillId="58" borderId="0" xfId="0" applyFont="1" applyFill="1" applyBorder="1" applyAlignment="1" applyProtection="1">
      <alignment horizontal="left" vertical="center" wrapText="1" indent="2"/>
      <protection hidden="1"/>
    </xf>
    <xf numFmtId="0" fontId="14" fillId="23" borderId="0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93">
    <dxf>
      <font>
        <color rgb="FFFF99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0000"/>
      </font>
    </dxf>
    <dxf>
      <font>
        <color rgb="FFFF0000"/>
      </font>
    </dxf>
    <dxf>
      <font>
        <color indexed="44"/>
      </font>
      <fill>
        <patternFill>
          <bgColor indexed="44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008000"/>
      </font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</border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indexed="17"/>
      </font>
      <fill>
        <patternFill>
          <bgColor indexed="17"/>
        </patternFill>
      </fill>
    </dxf>
    <dxf>
      <font>
        <color rgb="FF008000"/>
      </font>
      <fill>
        <patternFill>
          <bgColor rgb="FF008000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</border>
    </dxf>
    <dxf>
      <font>
        <color rgb="FF008000"/>
      </font>
    </dxf>
    <dxf>
      <font>
        <color rgb="FF008000"/>
      </font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</border>
    </dxf>
    <dxf>
      <font>
        <color theme="1"/>
      </font>
      <fill>
        <patternFill>
          <bgColor rgb="FF00FF00"/>
        </patternFill>
      </fill>
    </dxf>
    <dxf>
      <font>
        <color rgb="FFFF0000"/>
      </font>
      <fill>
        <patternFill>
          <bgColor rgb="FF00FF00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55"/>
      </font>
    </dxf>
    <dxf>
      <font>
        <color indexed="55"/>
      </font>
    </dxf>
    <dxf>
      <font>
        <color indexed="55"/>
      </font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color rgb="FFFF99FF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FF99FF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FFCCFF"/>
      </font>
      <fill>
        <patternFill>
          <bgColor rgb="FFCCFFFF"/>
        </patternFill>
      </fill>
    </dxf>
    <dxf>
      <font>
        <color theme="1"/>
      </font>
      <fill>
        <patternFill>
          <bgColor rgb="FF00FF00"/>
        </patternFill>
      </fill>
    </dxf>
    <dxf>
      <font>
        <color indexed="20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rgb="FFFFFF00"/>
      </font>
      <fill>
        <patternFill>
          <bgColor rgb="FFFFFF00"/>
        </patternFill>
      </fill>
      <border/>
    </dxf>
    <dxf>
      <font>
        <color rgb="FF800080"/>
      </font>
      <fill>
        <patternFill>
          <bgColor rgb="FF00FF00"/>
        </patternFill>
      </fill>
      <border/>
    </dxf>
    <dxf>
      <font>
        <color theme="1"/>
      </font>
      <fill>
        <patternFill>
          <bgColor rgb="FF00FF00"/>
        </patternFill>
      </fill>
      <border/>
    </dxf>
    <dxf>
      <font>
        <color rgb="FFFFCCFF"/>
      </font>
      <fill>
        <patternFill>
          <bgColor rgb="FFCCFFFF"/>
        </patternFill>
      </fill>
      <border/>
    </dxf>
    <dxf>
      <font>
        <color rgb="FFFF99FF"/>
      </font>
      <fill>
        <patternFill>
          <bgColor rgb="FFCCFFFF"/>
        </patternFill>
      </fill>
      <border/>
    </dxf>
    <dxf>
      <font>
        <color rgb="FF969696"/>
      </font>
      <border/>
    </dxf>
    <dxf>
      <font>
        <color rgb="FF008000"/>
      </font>
      <fill>
        <patternFill>
          <bgColor rgb="FF008000"/>
        </patternFill>
      </fill>
      <border/>
    </dxf>
    <dxf>
      <font>
        <color rgb="FFFF0000"/>
      </font>
      <fill>
        <patternFill>
          <bgColor rgb="FF00FF00"/>
        </patternFill>
      </fill>
      <border/>
    </dxf>
    <dxf>
      <font>
        <color rgb="FF008000"/>
      </font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</border>
    </dxf>
    <dxf>
      <font>
        <color rgb="FF008000"/>
      </font>
      <border/>
    </dxf>
    <dxf>
      <font>
        <color rgb="FF008000"/>
      </font>
      <fill>
        <patternFill>
          <bgColor rgb="FF008000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</border>
    </dxf>
    <dxf>
      <font>
        <color rgb="FFFFFFCC"/>
      </font>
      <border/>
    </dxf>
    <dxf>
      <font>
        <color rgb="FF99CCFF"/>
      </font>
      <fill>
        <patternFill>
          <bgColor rgb="FF99CCFF"/>
        </patternFill>
      </fill>
      <border/>
    </dxf>
    <dxf>
      <font>
        <color rgb="FFFF0000"/>
      </font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CCFF"/>
      </font>
      <border/>
    </dxf>
    <dxf>
      <font>
        <color rgb="FFFF99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Relationship Id="rId19" Type="http://schemas.openxmlformats.org/officeDocument/2006/relationships/image" Target="../media/image19.png" /><Relationship Id="rId20" Type="http://schemas.openxmlformats.org/officeDocument/2006/relationships/hyperlink" Target="http://sky-man.myweb.hinet.net/2017program.htm" TargetMode="External" /><Relationship Id="rId21" Type="http://schemas.openxmlformats.org/officeDocument/2006/relationships/hyperlink" Target="http://sky-man.myweb.hinet.net/2017program.htm" TargetMode="External" /><Relationship Id="rId22" Type="http://schemas.openxmlformats.org/officeDocument/2006/relationships/image" Target="../media/image20.png" /><Relationship Id="rId23" Type="http://schemas.openxmlformats.org/officeDocument/2006/relationships/hyperlink" Target="http://iocs.mocs.gov.tw/precal/KPC1020000/KPC1020000_frm.asp" TargetMode="External" /><Relationship Id="rId24" Type="http://schemas.openxmlformats.org/officeDocument/2006/relationships/hyperlink" Target="http://iocs.mocs.gov.tw/precal/KPC1020000/KPC1020000_frm.asp" TargetMode="External" /><Relationship Id="rId25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11</xdr:row>
      <xdr:rowOff>0</xdr:rowOff>
    </xdr:from>
    <xdr:to>
      <xdr:col>39</xdr:col>
      <xdr:colOff>38100</xdr:colOff>
      <xdr:row>27</xdr:row>
      <xdr:rowOff>0</xdr:rowOff>
    </xdr:to>
    <xdr:sp>
      <xdr:nvSpPr>
        <xdr:cNvPr id="1" name="Rectangle 616"/>
        <xdr:cNvSpPr>
          <a:spLocks/>
        </xdr:cNvSpPr>
      </xdr:nvSpPr>
      <xdr:spPr>
        <a:xfrm>
          <a:off x="485775" y="1857375"/>
          <a:ext cx="12506325" cy="2857500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75</xdr:col>
      <xdr:colOff>295275</xdr:colOff>
      <xdr:row>18</xdr:row>
      <xdr:rowOff>0</xdr:rowOff>
    </xdr:from>
    <xdr:to>
      <xdr:col>78</xdr:col>
      <xdr:colOff>209550</xdr:colOff>
      <xdr:row>22</xdr:row>
      <xdr:rowOff>57150</xdr:rowOff>
    </xdr:to>
    <xdr:sp macro="[0]!Macro3">
      <xdr:nvSpPr>
        <xdr:cNvPr id="2" name="Text Box 567"/>
        <xdr:cNvSpPr txBox="1">
          <a:spLocks noChangeArrowheads="1"/>
        </xdr:cNvSpPr>
      </xdr:nvSpPr>
      <xdr:spPr>
        <a:xfrm>
          <a:off x="15811500" y="3533775"/>
          <a:ext cx="1085850" cy="304800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454545"/>
            </a:gs>
            <a:gs pos="100000">
              <a:srgbClr val="969696"/>
            </a:gs>
          </a:gsLst>
          <a:lin ang="5400000" scaled="1"/>
        </a:gradFill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993366"/>
              </a:solidFill>
            </a:rPr>
            <a:t>資料清除鈕</a:t>
          </a:r>
        </a:p>
      </xdr:txBody>
    </xdr:sp>
    <xdr:clientData/>
  </xdr:twoCellAnchor>
  <xdr:twoCellAnchor>
    <xdr:from>
      <xdr:col>22</xdr:col>
      <xdr:colOff>28575</xdr:colOff>
      <xdr:row>4</xdr:row>
      <xdr:rowOff>9525</xdr:rowOff>
    </xdr:from>
    <xdr:to>
      <xdr:col>23</xdr:col>
      <xdr:colOff>333375</xdr:colOff>
      <xdr:row>4</xdr:row>
      <xdr:rowOff>228600</xdr:rowOff>
    </xdr:to>
    <xdr:sp macro="[0]!Macro4">
      <xdr:nvSpPr>
        <xdr:cNvPr id="3" name="Text Box 610"/>
        <xdr:cNvSpPr txBox="1">
          <a:spLocks noChangeArrowheads="1"/>
        </xdr:cNvSpPr>
      </xdr:nvSpPr>
      <xdr:spPr>
        <a:xfrm>
          <a:off x="3943350" y="628650"/>
          <a:ext cx="733425" cy="219075"/>
        </a:xfrm>
        <a:prstGeom prst="rect">
          <a:avLst/>
        </a:prstGeom>
        <a:gradFill rotWithShape="1">
          <a:gsLst>
            <a:gs pos="0">
              <a:srgbClr val="B2B2B2"/>
            </a:gs>
            <a:gs pos="50000">
              <a:srgbClr val="525252"/>
            </a:gs>
            <a:gs pos="100000">
              <a:srgbClr val="B2B2B2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800080"/>
              </a:solidFill>
            </a:rPr>
            <a:t>清除重填</a:t>
          </a:r>
        </a:p>
      </xdr:txBody>
    </xdr:sp>
    <xdr:clientData/>
  </xdr:twoCellAnchor>
  <xdr:twoCellAnchor>
    <xdr:from>
      <xdr:col>1</xdr:col>
      <xdr:colOff>0</xdr:colOff>
      <xdr:row>29</xdr:row>
      <xdr:rowOff>247650</xdr:rowOff>
    </xdr:from>
    <xdr:to>
      <xdr:col>1</xdr:col>
      <xdr:colOff>76200</xdr:colOff>
      <xdr:row>46</xdr:row>
      <xdr:rowOff>161925</xdr:rowOff>
    </xdr:to>
    <xdr:sp>
      <xdr:nvSpPr>
        <xdr:cNvPr id="4" name="Rectangle 686"/>
        <xdr:cNvSpPr>
          <a:spLocks/>
        </xdr:cNvSpPr>
      </xdr:nvSpPr>
      <xdr:spPr>
        <a:xfrm>
          <a:off x="133350" y="5362575"/>
          <a:ext cx="76200" cy="3381375"/>
        </a:xfrm>
        <a:prstGeom prst="rect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29</xdr:row>
      <xdr:rowOff>285750</xdr:rowOff>
    </xdr:from>
    <xdr:to>
      <xdr:col>1</xdr:col>
      <xdr:colOff>352425</xdr:colOff>
      <xdr:row>46</xdr:row>
      <xdr:rowOff>180975</xdr:rowOff>
    </xdr:to>
    <xdr:sp>
      <xdr:nvSpPr>
        <xdr:cNvPr id="5" name="Rectangle 687"/>
        <xdr:cNvSpPr>
          <a:spLocks/>
        </xdr:cNvSpPr>
      </xdr:nvSpPr>
      <xdr:spPr>
        <a:xfrm>
          <a:off x="409575" y="5400675"/>
          <a:ext cx="76200" cy="3362325"/>
        </a:xfrm>
        <a:prstGeom prst="rect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32</xdr:row>
      <xdr:rowOff>104775</xdr:rowOff>
    </xdr:from>
    <xdr:to>
      <xdr:col>1</xdr:col>
      <xdr:colOff>295275</xdr:colOff>
      <xdr:row>37</xdr:row>
      <xdr:rowOff>114300</xdr:rowOff>
    </xdr:to>
    <xdr:sp>
      <xdr:nvSpPr>
        <xdr:cNvPr id="6" name="AutoShape 688"/>
        <xdr:cNvSpPr>
          <a:spLocks/>
        </xdr:cNvSpPr>
      </xdr:nvSpPr>
      <xdr:spPr>
        <a:xfrm rot="5400000">
          <a:off x="209550" y="6019800"/>
          <a:ext cx="219075" cy="962025"/>
        </a:xfrm>
        <a:prstGeom prst="chevron">
          <a:avLst>
            <a:gd name="adj" fmla="val 37217"/>
          </a:avLst>
        </a:prstGeom>
        <a:solidFill>
          <a:srgbClr val="FFFF00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過渡期</a:t>
          </a:r>
        </a:p>
      </xdr:txBody>
    </xdr:sp>
    <xdr:clientData/>
  </xdr:twoCellAnchor>
  <xdr:twoCellAnchor>
    <xdr:from>
      <xdr:col>76</xdr:col>
      <xdr:colOff>85725</xdr:colOff>
      <xdr:row>24</xdr:row>
      <xdr:rowOff>0</xdr:rowOff>
    </xdr:from>
    <xdr:to>
      <xdr:col>76</xdr:col>
      <xdr:colOff>352425</xdr:colOff>
      <xdr:row>24</xdr:row>
      <xdr:rowOff>0</xdr:rowOff>
    </xdr:to>
    <xdr:sp>
      <xdr:nvSpPr>
        <xdr:cNvPr id="7" name="Rectangle 693"/>
        <xdr:cNvSpPr>
          <a:spLocks/>
        </xdr:cNvSpPr>
      </xdr:nvSpPr>
      <xdr:spPr>
        <a:xfrm>
          <a:off x="15992475" y="4257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666699"/>
              </a:solidFill>
            </a:rPr>
            <a:t>年</a:t>
          </a:r>
        </a:p>
      </xdr:txBody>
    </xdr:sp>
    <xdr:clientData/>
  </xdr:twoCellAnchor>
  <xdr:twoCellAnchor>
    <xdr:from>
      <xdr:col>77</xdr:col>
      <xdr:colOff>76200</xdr:colOff>
      <xdr:row>24</xdr:row>
      <xdr:rowOff>0</xdr:rowOff>
    </xdr:from>
    <xdr:to>
      <xdr:col>77</xdr:col>
      <xdr:colOff>342900</xdr:colOff>
      <xdr:row>24</xdr:row>
      <xdr:rowOff>0</xdr:rowOff>
    </xdr:to>
    <xdr:sp>
      <xdr:nvSpPr>
        <xdr:cNvPr id="8" name="Rectangle 694"/>
        <xdr:cNvSpPr>
          <a:spLocks/>
        </xdr:cNvSpPr>
      </xdr:nvSpPr>
      <xdr:spPr>
        <a:xfrm>
          <a:off x="16373475" y="4257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666699"/>
              </a:solidFill>
            </a:rPr>
            <a:t>月</a:t>
          </a:r>
        </a:p>
      </xdr:txBody>
    </xdr:sp>
    <xdr:clientData/>
  </xdr:twoCellAnchor>
  <xdr:twoCellAnchor>
    <xdr:from>
      <xdr:col>78</xdr:col>
      <xdr:colOff>76200</xdr:colOff>
      <xdr:row>24</xdr:row>
      <xdr:rowOff>0</xdr:rowOff>
    </xdr:from>
    <xdr:to>
      <xdr:col>78</xdr:col>
      <xdr:colOff>342900</xdr:colOff>
      <xdr:row>24</xdr:row>
      <xdr:rowOff>0</xdr:rowOff>
    </xdr:to>
    <xdr:sp>
      <xdr:nvSpPr>
        <xdr:cNvPr id="9" name="Rectangle 695"/>
        <xdr:cNvSpPr>
          <a:spLocks/>
        </xdr:cNvSpPr>
      </xdr:nvSpPr>
      <xdr:spPr>
        <a:xfrm>
          <a:off x="16764000" y="4257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666699"/>
              </a:solidFill>
            </a:rPr>
            <a:t>日</a:t>
          </a:r>
        </a:p>
      </xdr:txBody>
    </xdr:sp>
    <xdr:clientData/>
  </xdr:twoCellAnchor>
  <xdr:twoCellAnchor>
    <xdr:from>
      <xdr:col>1</xdr:col>
      <xdr:colOff>95250</xdr:colOff>
      <xdr:row>12</xdr:row>
      <xdr:rowOff>28575</xdr:rowOff>
    </xdr:from>
    <xdr:to>
      <xdr:col>13</xdr:col>
      <xdr:colOff>76200</xdr:colOff>
      <xdr:row>25</xdr:row>
      <xdr:rowOff>38100</xdr:rowOff>
    </xdr:to>
    <xdr:grpSp>
      <xdr:nvGrpSpPr>
        <xdr:cNvPr id="10" name="Group 715"/>
        <xdr:cNvGrpSpPr>
          <a:grpSpLocks/>
        </xdr:cNvGrpSpPr>
      </xdr:nvGrpSpPr>
      <xdr:grpSpPr>
        <a:xfrm>
          <a:off x="228600" y="1971675"/>
          <a:ext cx="342900" cy="2571750"/>
          <a:chOff x="45" y="212"/>
          <a:chExt cx="40" cy="203"/>
        </a:xfrm>
        <a:solidFill>
          <a:srgbClr val="FFFFFF"/>
        </a:solidFill>
      </xdr:grpSpPr>
      <xdr:sp>
        <xdr:nvSpPr>
          <xdr:cNvPr id="11" name="AutoShape 710"/>
          <xdr:cNvSpPr>
            <a:spLocks/>
          </xdr:cNvSpPr>
        </xdr:nvSpPr>
        <xdr:spPr>
          <a:xfrm>
            <a:off x="45" y="250"/>
            <a:ext cx="40" cy="129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FF00FF"/>
              </a:gs>
            </a:gsLst>
            <a:path path="rect">
              <a:fillToRect l="50000" t="50000" r="50000" b="50000"/>
            </a:path>
          </a:gradFill>
          <a:ln w="2857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分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果</a:t>
            </a:r>
          </a:p>
        </xdr:txBody>
      </xdr:sp>
      <xdr:sp>
        <xdr:nvSpPr>
          <xdr:cNvPr id="12" name="AutoShape 711"/>
          <xdr:cNvSpPr>
            <a:spLocks/>
          </xdr:cNvSpPr>
        </xdr:nvSpPr>
        <xdr:spPr>
          <a:xfrm>
            <a:off x="45" y="212"/>
            <a:ext cx="40" cy="12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FF00FF"/>
              </a:gs>
            </a:gsLst>
            <a:path path="rect">
              <a:fillToRect l="50000" t="50000" r="50000" b="50000"/>
            </a:path>
          </a:gradFill>
          <a:ln w="2857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AutoShape 712"/>
          <xdr:cNvSpPr>
            <a:spLocks/>
          </xdr:cNvSpPr>
        </xdr:nvSpPr>
        <xdr:spPr>
          <a:xfrm>
            <a:off x="45" y="231"/>
            <a:ext cx="40" cy="12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FF00FF"/>
              </a:gs>
            </a:gsLst>
            <a:path path="rect">
              <a:fillToRect l="50000" t="50000" r="50000" b="50000"/>
            </a:path>
          </a:gradFill>
          <a:ln w="2857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AutoShape 713"/>
          <xdr:cNvSpPr>
            <a:spLocks/>
          </xdr:cNvSpPr>
        </xdr:nvSpPr>
        <xdr:spPr>
          <a:xfrm>
            <a:off x="45" y="384"/>
            <a:ext cx="40" cy="12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FF00FF"/>
              </a:gs>
            </a:gsLst>
            <a:path path="rect">
              <a:fillToRect l="50000" t="50000" r="50000" b="50000"/>
            </a:path>
          </a:gradFill>
          <a:ln w="2857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AutoShape 714"/>
          <xdr:cNvSpPr>
            <a:spLocks/>
          </xdr:cNvSpPr>
        </xdr:nvSpPr>
        <xdr:spPr>
          <a:xfrm>
            <a:off x="45" y="403"/>
            <a:ext cx="40" cy="12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FF00FF"/>
              </a:gs>
            </a:gsLst>
            <a:path path="rect">
              <a:fillToRect l="50000" t="50000" r="50000" b="50000"/>
            </a:path>
          </a:gradFill>
          <a:ln w="2857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29</xdr:row>
      <xdr:rowOff>219075</xdr:rowOff>
    </xdr:from>
    <xdr:to>
      <xdr:col>31</xdr:col>
      <xdr:colOff>0</xdr:colOff>
      <xdr:row>30</xdr:row>
      <xdr:rowOff>28575</xdr:rowOff>
    </xdr:to>
    <xdr:sp>
      <xdr:nvSpPr>
        <xdr:cNvPr id="16" name="Line 724"/>
        <xdr:cNvSpPr>
          <a:spLocks/>
        </xdr:cNvSpPr>
      </xdr:nvSpPr>
      <xdr:spPr>
        <a:xfrm>
          <a:off x="9829800" y="5334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190500</xdr:rowOff>
    </xdr:from>
    <xdr:to>
      <xdr:col>31</xdr:col>
      <xdr:colOff>0</xdr:colOff>
      <xdr:row>31</xdr:row>
      <xdr:rowOff>28575</xdr:rowOff>
    </xdr:to>
    <xdr:sp>
      <xdr:nvSpPr>
        <xdr:cNvPr id="17" name="Line 725"/>
        <xdr:cNvSpPr>
          <a:spLocks/>
        </xdr:cNvSpPr>
      </xdr:nvSpPr>
      <xdr:spPr>
        <a:xfrm>
          <a:off x="9829800" y="572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190500</xdr:rowOff>
    </xdr:from>
    <xdr:to>
      <xdr:col>31</xdr:col>
      <xdr:colOff>0</xdr:colOff>
      <xdr:row>32</xdr:row>
      <xdr:rowOff>28575</xdr:rowOff>
    </xdr:to>
    <xdr:sp>
      <xdr:nvSpPr>
        <xdr:cNvPr id="18" name="Line 726"/>
        <xdr:cNvSpPr>
          <a:spLocks/>
        </xdr:cNvSpPr>
      </xdr:nvSpPr>
      <xdr:spPr>
        <a:xfrm>
          <a:off x="9829800" y="591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190500</xdr:rowOff>
    </xdr:from>
    <xdr:to>
      <xdr:col>31</xdr:col>
      <xdr:colOff>0</xdr:colOff>
      <xdr:row>33</xdr:row>
      <xdr:rowOff>28575</xdr:rowOff>
    </xdr:to>
    <xdr:sp>
      <xdr:nvSpPr>
        <xdr:cNvPr id="19" name="Line 727"/>
        <xdr:cNvSpPr>
          <a:spLocks/>
        </xdr:cNvSpPr>
      </xdr:nvSpPr>
      <xdr:spPr>
        <a:xfrm>
          <a:off x="9829800" y="610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190500</xdr:rowOff>
    </xdr:from>
    <xdr:to>
      <xdr:col>31</xdr:col>
      <xdr:colOff>0</xdr:colOff>
      <xdr:row>34</xdr:row>
      <xdr:rowOff>28575</xdr:rowOff>
    </xdr:to>
    <xdr:sp>
      <xdr:nvSpPr>
        <xdr:cNvPr id="20" name="Line 728"/>
        <xdr:cNvSpPr>
          <a:spLocks/>
        </xdr:cNvSpPr>
      </xdr:nvSpPr>
      <xdr:spPr>
        <a:xfrm>
          <a:off x="9829800" y="629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190500</xdr:rowOff>
    </xdr:from>
    <xdr:to>
      <xdr:col>31</xdr:col>
      <xdr:colOff>0</xdr:colOff>
      <xdr:row>35</xdr:row>
      <xdr:rowOff>28575</xdr:rowOff>
    </xdr:to>
    <xdr:sp>
      <xdr:nvSpPr>
        <xdr:cNvPr id="21" name="Line 729"/>
        <xdr:cNvSpPr>
          <a:spLocks/>
        </xdr:cNvSpPr>
      </xdr:nvSpPr>
      <xdr:spPr>
        <a:xfrm>
          <a:off x="9829800" y="648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190500</xdr:rowOff>
    </xdr:from>
    <xdr:to>
      <xdr:col>31</xdr:col>
      <xdr:colOff>0</xdr:colOff>
      <xdr:row>36</xdr:row>
      <xdr:rowOff>28575</xdr:rowOff>
    </xdr:to>
    <xdr:sp>
      <xdr:nvSpPr>
        <xdr:cNvPr id="22" name="Line 730"/>
        <xdr:cNvSpPr>
          <a:spLocks/>
        </xdr:cNvSpPr>
      </xdr:nvSpPr>
      <xdr:spPr>
        <a:xfrm>
          <a:off x="9829800" y="667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190500</xdr:rowOff>
    </xdr:from>
    <xdr:to>
      <xdr:col>31</xdr:col>
      <xdr:colOff>0</xdr:colOff>
      <xdr:row>37</xdr:row>
      <xdr:rowOff>28575</xdr:rowOff>
    </xdr:to>
    <xdr:sp>
      <xdr:nvSpPr>
        <xdr:cNvPr id="23" name="Line 731"/>
        <xdr:cNvSpPr>
          <a:spLocks/>
        </xdr:cNvSpPr>
      </xdr:nvSpPr>
      <xdr:spPr>
        <a:xfrm>
          <a:off x="9829800" y="686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190500</xdr:rowOff>
    </xdr:from>
    <xdr:to>
      <xdr:col>31</xdr:col>
      <xdr:colOff>0</xdr:colOff>
      <xdr:row>38</xdr:row>
      <xdr:rowOff>28575</xdr:rowOff>
    </xdr:to>
    <xdr:sp>
      <xdr:nvSpPr>
        <xdr:cNvPr id="24" name="Line 732"/>
        <xdr:cNvSpPr>
          <a:spLocks/>
        </xdr:cNvSpPr>
      </xdr:nvSpPr>
      <xdr:spPr>
        <a:xfrm>
          <a:off x="9829800" y="705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190500</xdr:rowOff>
    </xdr:from>
    <xdr:to>
      <xdr:col>31</xdr:col>
      <xdr:colOff>0</xdr:colOff>
      <xdr:row>39</xdr:row>
      <xdr:rowOff>28575</xdr:rowOff>
    </xdr:to>
    <xdr:sp>
      <xdr:nvSpPr>
        <xdr:cNvPr id="25" name="Line 733"/>
        <xdr:cNvSpPr>
          <a:spLocks/>
        </xdr:cNvSpPr>
      </xdr:nvSpPr>
      <xdr:spPr>
        <a:xfrm>
          <a:off x="9829800" y="724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190500</xdr:rowOff>
    </xdr:from>
    <xdr:to>
      <xdr:col>31</xdr:col>
      <xdr:colOff>0</xdr:colOff>
      <xdr:row>40</xdr:row>
      <xdr:rowOff>28575</xdr:rowOff>
    </xdr:to>
    <xdr:sp>
      <xdr:nvSpPr>
        <xdr:cNvPr id="26" name="Line 734"/>
        <xdr:cNvSpPr>
          <a:spLocks/>
        </xdr:cNvSpPr>
      </xdr:nvSpPr>
      <xdr:spPr>
        <a:xfrm>
          <a:off x="9829800" y="743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190500</xdr:rowOff>
    </xdr:from>
    <xdr:to>
      <xdr:col>31</xdr:col>
      <xdr:colOff>0</xdr:colOff>
      <xdr:row>41</xdr:row>
      <xdr:rowOff>28575</xdr:rowOff>
    </xdr:to>
    <xdr:sp>
      <xdr:nvSpPr>
        <xdr:cNvPr id="27" name="Line 735"/>
        <xdr:cNvSpPr>
          <a:spLocks/>
        </xdr:cNvSpPr>
      </xdr:nvSpPr>
      <xdr:spPr>
        <a:xfrm>
          <a:off x="9829800" y="762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190500</xdr:rowOff>
    </xdr:from>
    <xdr:to>
      <xdr:col>31</xdr:col>
      <xdr:colOff>0</xdr:colOff>
      <xdr:row>42</xdr:row>
      <xdr:rowOff>28575</xdr:rowOff>
    </xdr:to>
    <xdr:sp>
      <xdr:nvSpPr>
        <xdr:cNvPr id="28" name="Line 736"/>
        <xdr:cNvSpPr>
          <a:spLocks/>
        </xdr:cNvSpPr>
      </xdr:nvSpPr>
      <xdr:spPr>
        <a:xfrm>
          <a:off x="9829800" y="782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190500</xdr:rowOff>
    </xdr:from>
    <xdr:to>
      <xdr:col>31</xdr:col>
      <xdr:colOff>0</xdr:colOff>
      <xdr:row>43</xdr:row>
      <xdr:rowOff>28575</xdr:rowOff>
    </xdr:to>
    <xdr:sp>
      <xdr:nvSpPr>
        <xdr:cNvPr id="29" name="Line 737"/>
        <xdr:cNvSpPr>
          <a:spLocks/>
        </xdr:cNvSpPr>
      </xdr:nvSpPr>
      <xdr:spPr>
        <a:xfrm>
          <a:off x="9829800" y="801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43</xdr:row>
      <xdr:rowOff>190500</xdr:rowOff>
    </xdr:from>
    <xdr:to>
      <xdr:col>31</xdr:col>
      <xdr:colOff>0</xdr:colOff>
      <xdr:row>44</xdr:row>
      <xdr:rowOff>28575</xdr:rowOff>
    </xdr:to>
    <xdr:sp>
      <xdr:nvSpPr>
        <xdr:cNvPr id="30" name="Line 738"/>
        <xdr:cNvSpPr>
          <a:spLocks/>
        </xdr:cNvSpPr>
      </xdr:nvSpPr>
      <xdr:spPr>
        <a:xfrm>
          <a:off x="9829800" y="820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190500</xdr:rowOff>
    </xdr:from>
    <xdr:to>
      <xdr:col>31</xdr:col>
      <xdr:colOff>0</xdr:colOff>
      <xdr:row>45</xdr:row>
      <xdr:rowOff>28575</xdr:rowOff>
    </xdr:to>
    <xdr:sp>
      <xdr:nvSpPr>
        <xdr:cNvPr id="31" name="Line 739"/>
        <xdr:cNvSpPr>
          <a:spLocks/>
        </xdr:cNvSpPr>
      </xdr:nvSpPr>
      <xdr:spPr>
        <a:xfrm>
          <a:off x="9829800" y="839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190500</xdr:rowOff>
    </xdr:from>
    <xdr:to>
      <xdr:col>31</xdr:col>
      <xdr:colOff>0</xdr:colOff>
      <xdr:row>46</xdr:row>
      <xdr:rowOff>28575</xdr:rowOff>
    </xdr:to>
    <xdr:sp>
      <xdr:nvSpPr>
        <xdr:cNvPr id="32" name="Line 740"/>
        <xdr:cNvSpPr>
          <a:spLocks/>
        </xdr:cNvSpPr>
      </xdr:nvSpPr>
      <xdr:spPr>
        <a:xfrm>
          <a:off x="9829800" y="858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190500</xdr:rowOff>
    </xdr:from>
    <xdr:to>
      <xdr:col>31</xdr:col>
      <xdr:colOff>0</xdr:colOff>
      <xdr:row>47</xdr:row>
      <xdr:rowOff>28575</xdr:rowOff>
    </xdr:to>
    <xdr:sp>
      <xdr:nvSpPr>
        <xdr:cNvPr id="33" name="Line 741"/>
        <xdr:cNvSpPr>
          <a:spLocks/>
        </xdr:cNvSpPr>
      </xdr:nvSpPr>
      <xdr:spPr>
        <a:xfrm>
          <a:off x="9829800" y="877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47</xdr:row>
      <xdr:rowOff>190500</xdr:rowOff>
    </xdr:from>
    <xdr:to>
      <xdr:col>31</xdr:col>
      <xdr:colOff>0</xdr:colOff>
      <xdr:row>48</xdr:row>
      <xdr:rowOff>28575</xdr:rowOff>
    </xdr:to>
    <xdr:sp>
      <xdr:nvSpPr>
        <xdr:cNvPr id="34" name="Line 742"/>
        <xdr:cNvSpPr>
          <a:spLocks/>
        </xdr:cNvSpPr>
      </xdr:nvSpPr>
      <xdr:spPr>
        <a:xfrm>
          <a:off x="9829800" y="896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48</xdr:row>
      <xdr:rowOff>190500</xdr:rowOff>
    </xdr:from>
    <xdr:to>
      <xdr:col>31</xdr:col>
      <xdr:colOff>0</xdr:colOff>
      <xdr:row>49</xdr:row>
      <xdr:rowOff>28575</xdr:rowOff>
    </xdr:to>
    <xdr:sp>
      <xdr:nvSpPr>
        <xdr:cNvPr id="35" name="Line 743"/>
        <xdr:cNvSpPr>
          <a:spLocks/>
        </xdr:cNvSpPr>
      </xdr:nvSpPr>
      <xdr:spPr>
        <a:xfrm>
          <a:off x="9829800" y="915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190500</xdr:rowOff>
    </xdr:from>
    <xdr:to>
      <xdr:col>31</xdr:col>
      <xdr:colOff>0</xdr:colOff>
      <xdr:row>50</xdr:row>
      <xdr:rowOff>28575</xdr:rowOff>
    </xdr:to>
    <xdr:sp>
      <xdr:nvSpPr>
        <xdr:cNvPr id="36" name="Line 744"/>
        <xdr:cNvSpPr>
          <a:spLocks/>
        </xdr:cNvSpPr>
      </xdr:nvSpPr>
      <xdr:spPr>
        <a:xfrm>
          <a:off x="9829800" y="9344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50</xdr:row>
      <xdr:rowOff>190500</xdr:rowOff>
    </xdr:from>
    <xdr:to>
      <xdr:col>31</xdr:col>
      <xdr:colOff>0</xdr:colOff>
      <xdr:row>51</xdr:row>
      <xdr:rowOff>28575</xdr:rowOff>
    </xdr:to>
    <xdr:sp>
      <xdr:nvSpPr>
        <xdr:cNvPr id="37" name="Line 745"/>
        <xdr:cNvSpPr>
          <a:spLocks/>
        </xdr:cNvSpPr>
      </xdr:nvSpPr>
      <xdr:spPr>
        <a:xfrm>
          <a:off x="9829800" y="953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51</xdr:row>
      <xdr:rowOff>190500</xdr:rowOff>
    </xdr:from>
    <xdr:to>
      <xdr:col>31</xdr:col>
      <xdr:colOff>0</xdr:colOff>
      <xdr:row>52</xdr:row>
      <xdr:rowOff>28575</xdr:rowOff>
    </xdr:to>
    <xdr:sp>
      <xdr:nvSpPr>
        <xdr:cNvPr id="38" name="Line 746"/>
        <xdr:cNvSpPr>
          <a:spLocks/>
        </xdr:cNvSpPr>
      </xdr:nvSpPr>
      <xdr:spPr>
        <a:xfrm>
          <a:off x="9829800" y="972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190500</xdr:rowOff>
    </xdr:from>
    <xdr:to>
      <xdr:col>31</xdr:col>
      <xdr:colOff>0</xdr:colOff>
      <xdr:row>53</xdr:row>
      <xdr:rowOff>28575</xdr:rowOff>
    </xdr:to>
    <xdr:sp>
      <xdr:nvSpPr>
        <xdr:cNvPr id="39" name="Line 747"/>
        <xdr:cNvSpPr>
          <a:spLocks/>
        </xdr:cNvSpPr>
      </xdr:nvSpPr>
      <xdr:spPr>
        <a:xfrm>
          <a:off x="9829800" y="991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53</xdr:row>
      <xdr:rowOff>190500</xdr:rowOff>
    </xdr:from>
    <xdr:to>
      <xdr:col>31</xdr:col>
      <xdr:colOff>0</xdr:colOff>
      <xdr:row>54</xdr:row>
      <xdr:rowOff>28575</xdr:rowOff>
    </xdr:to>
    <xdr:sp>
      <xdr:nvSpPr>
        <xdr:cNvPr id="40" name="Line 748"/>
        <xdr:cNvSpPr>
          <a:spLocks/>
        </xdr:cNvSpPr>
      </xdr:nvSpPr>
      <xdr:spPr>
        <a:xfrm>
          <a:off x="9829800" y="1010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54</xdr:row>
      <xdr:rowOff>190500</xdr:rowOff>
    </xdr:from>
    <xdr:to>
      <xdr:col>31</xdr:col>
      <xdr:colOff>0</xdr:colOff>
      <xdr:row>55</xdr:row>
      <xdr:rowOff>28575</xdr:rowOff>
    </xdr:to>
    <xdr:sp>
      <xdr:nvSpPr>
        <xdr:cNvPr id="41" name="Line 749"/>
        <xdr:cNvSpPr>
          <a:spLocks/>
        </xdr:cNvSpPr>
      </xdr:nvSpPr>
      <xdr:spPr>
        <a:xfrm>
          <a:off x="9829800" y="1029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55</xdr:row>
      <xdr:rowOff>190500</xdr:rowOff>
    </xdr:from>
    <xdr:to>
      <xdr:col>31</xdr:col>
      <xdr:colOff>0</xdr:colOff>
      <xdr:row>56</xdr:row>
      <xdr:rowOff>28575</xdr:rowOff>
    </xdr:to>
    <xdr:sp>
      <xdr:nvSpPr>
        <xdr:cNvPr id="42" name="Line 750"/>
        <xdr:cNvSpPr>
          <a:spLocks/>
        </xdr:cNvSpPr>
      </xdr:nvSpPr>
      <xdr:spPr>
        <a:xfrm>
          <a:off x="9829800" y="1048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56</xdr:row>
      <xdr:rowOff>190500</xdr:rowOff>
    </xdr:from>
    <xdr:to>
      <xdr:col>31</xdr:col>
      <xdr:colOff>0</xdr:colOff>
      <xdr:row>57</xdr:row>
      <xdr:rowOff>28575</xdr:rowOff>
    </xdr:to>
    <xdr:sp>
      <xdr:nvSpPr>
        <xdr:cNvPr id="43" name="Line 751"/>
        <xdr:cNvSpPr>
          <a:spLocks/>
        </xdr:cNvSpPr>
      </xdr:nvSpPr>
      <xdr:spPr>
        <a:xfrm>
          <a:off x="9829800" y="1067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57</xdr:row>
      <xdr:rowOff>190500</xdr:rowOff>
    </xdr:from>
    <xdr:to>
      <xdr:col>31</xdr:col>
      <xdr:colOff>0</xdr:colOff>
      <xdr:row>58</xdr:row>
      <xdr:rowOff>28575</xdr:rowOff>
    </xdr:to>
    <xdr:sp>
      <xdr:nvSpPr>
        <xdr:cNvPr id="44" name="Line 752"/>
        <xdr:cNvSpPr>
          <a:spLocks/>
        </xdr:cNvSpPr>
      </xdr:nvSpPr>
      <xdr:spPr>
        <a:xfrm>
          <a:off x="9829800" y="1086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58</xdr:row>
      <xdr:rowOff>190500</xdr:rowOff>
    </xdr:from>
    <xdr:to>
      <xdr:col>31</xdr:col>
      <xdr:colOff>0</xdr:colOff>
      <xdr:row>59</xdr:row>
      <xdr:rowOff>28575</xdr:rowOff>
    </xdr:to>
    <xdr:sp>
      <xdr:nvSpPr>
        <xdr:cNvPr id="45" name="Line 753"/>
        <xdr:cNvSpPr>
          <a:spLocks/>
        </xdr:cNvSpPr>
      </xdr:nvSpPr>
      <xdr:spPr>
        <a:xfrm>
          <a:off x="9829800" y="1105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59</xdr:row>
      <xdr:rowOff>190500</xdr:rowOff>
    </xdr:from>
    <xdr:to>
      <xdr:col>31</xdr:col>
      <xdr:colOff>0</xdr:colOff>
      <xdr:row>60</xdr:row>
      <xdr:rowOff>28575</xdr:rowOff>
    </xdr:to>
    <xdr:sp>
      <xdr:nvSpPr>
        <xdr:cNvPr id="46" name="Line 754"/>
        <xdr:cNvSpPr>
          <a:spLocks/>
        </xdr:cNvSpPr>
      </xdr:nvSpPr>
      <xdr:spPr>
        <a:xfrm>
          <a:off x="9829800" y="1124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60</xdr:row>
      <xdr:rowOff>190500</xdr:rowOff>
    </xdr:from>
    <xdr:to>
      <xdr:col>31</xdr:col>
      <xdr:colOff>0</xdr:colOff>
      <xdr:row>61</xdr:row>
      <xdr:rowOff>28575</xdr:rowOff>
    </xdr:to>
    <xdr:sp>
      <xdr:nvSpPr>
        <xdr:cNvPr id="47" name="Line 755"/>
        <xdr:cNvSpPr>
          <a:spLocks/>
        </xdr:cNvSpPr>
      </xdr:nvSpPr>
      <xdr:spPr>
        <a:xfrm>
          <a:off x="9829800" y="1143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190500</xdr:rowOff>
    </xdr:from>
    <xdr:to>
      <xdr:col>31</xdr:col>
      <xdr:colOff>0</xdr:colOff>
      <xdr:row>62</xdr:row>
      <xdr:rowOff>28575</xdr:rowOff>
    </xdr:to>
    <xdr:sp>
      <xdr:nvSpPr>
        <xdr:cNvPr id="48" name="Line 756"/>
        <xdr:cNvSpPr>
          <a:spLocks/>
        </xdr:cNvSpPr>
      </xdr:nvSpPr>
      <xdr:spPr>
        <a:xfrm>
          <a:off x="9829800" y="1163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190500</xdr:rowOff>
    </xdr:from>
    <xdr:to>
      <xdr:col>31</xdr:col>
      <xdr:colOff>0</xdr:colOff>
      <xdr:row>63</xdr:row>
      <xdr:rowOff>28575</xdr:rowOff>
    </xdr:to>
    <xdr:sp>
      <xdr:nvSpPr>
        <xdr:cNvPr id="49" name="Line 757"/>
        <xdr:cNvSpPr>
          <a:spLocks/>
        </xdr:cNvSpPr>
      </xdr:nvSpPr>
      <xdr:spPr>
        <a:xfrm>
          <a:off x="9829800" y="1182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63</xdr:row>
      <xdr:rowOff>190500</xdr:rowOff>
    </xdr:from>
    <xdr:to>
      <xdr:col>31</xdr:col>
      <xdr:colOff>0</xdr:colOff>
      <xdr:row>64</xdr:row>
      <xdr:rowOff>28575</xdr:rowOff>
    </xdr:to>
    <xdr:sp>
      <xdr:nvSpPr>
        <xdr:cNvPr id="50" name="Line 758"/>
        <xdr:cNvSpPr>
          <a:spLocks/>
        </xdr:cNvSpPr>
      </xdr:nvSpPr>
      <xdr:spPr>
        <a:xfrm>
          <a:off x="9829800" y="1201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190500</xdr:rowOff>
    </xdr:from>
    <xdr:to>
      <xdr:col>31</xdr:col>
      <xdr:colOff>0</xdr:colOff>
      <xdr:row>65</xdr:row>
      <xdr:rowOff>28575</xdr:rowOff>
    </xdr:to>
    <xdr:sp>
      <xdr:nvSpPr>
        <xdr:cNvPr id="51" name="Line 759"/>
        <xdr:cNvSpPr>
          <a:spLocks/>
        </xdr:cNvSpPr>
      </xdr:nvSpPr>
      <xdr:spPr>
        <a:xfrm>
          <a:off x="9829800" y="1220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65</xdr:row>
      <xdr:rowOff>190500</xdr:rowOff>
    </xdr:from>
    <xdr:to>
      <xdr:col>31</xdr:col>
      <xdr:colOff>0</xdr:colOff>
      <xdr:row>66</xdr:row>
      <xdr:rowOff>28575</xdr:rowOff>
    </xdr:to>
    <xdr:sp>
      <xdr:nvSpPr>
        <xdr:cNvPr id="52" name="Line 760"/>
        <xdr:cNvSpPr>
          <a:spLocks/>
        </xdr:cNvSpPr>
      </xdr:nvSpPr>
      <xdr:spPr>
        <a:xfrm>
          <a:off x="9829800" y="1239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190500</xdr:rowOff>
    </xdr:from>
    <xdr:to>
      <xdr:col>31</xdr:col>
      <xdr:colOff>0</xdr:colOff>
      <xdr:row>67</xdr:row>
      <xdr:rowOff>28575</xdr:rowOff>
    </xdr:to>
    <xdr:sp>
      <xdr:nvSpPr>
        <xdr:cNvPr id="53" name="Line 761"/>
        <xdr:cNvSpPr>
          <a:spLocks/>
        </xdr:cNvSpPr>
      </xdr:nvSpPr>
      <xdr:spPr>
        <a:xfrm>
          <a:off x="9829800" y="1258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190500</xdr:rowOff>
    </xdr:from>
    <xdr:to>
      <xdr:col>31</xdr:col>
      <xdr:colOff>0</xdr:colOff>
      <xdr:row>68</xdr:row>
      <xdr:rowOff>28575</xdr:rowOff>
    </xdr:to>
    <xdr:sp>
      <xdr:nvSpPr>
        <xdr:cNvPr id="54" name="Line 762"/>
        <xdr:cNvSpPr>
          <a:spLocks/>
        </xdr:cNvSpPr>
      </xdr:nvSpPr>
      <xdr:spPr>
        <a:xfrm>
          <a:off x="9829800" y="1277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68</xdr:row>
      <xdr:rowOff>190500</xdr:rowOff>
    </xdr:from>
    <xdr:to>
      <xdr:col>31</xdr:col>
      <xdr:colOff>0</xdr:colOff>
      <xdr:row>69</xdr:row>
      <xdr:rowOff>28575</xdr:rowOff>
    </xdr:to>
    <xdr:sp>
      <xdr:nvSpPr>
        <xdr:cNvPr id="55" name="Line 763"/>
        <xdr:cNvSpPr>
          <a:spLocks/>
        </xdr:cNvSpPr>
      </xdr:nvSpPr>
      <xdr:spPr>
        <a:xfrm>
          <a:off x="9829800" y="1296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69</xdr:row>
      <xdr:rowOff>190500</xdr:rowOff>
    </xdr:from>
    <xdr:to>
      <xdr:col>31</xdr:col>
      <xdr:colOff>0</xdr:colOff>
      <xdr:row>70</xdr:row>
      <xdr:rowOff>28575</xdr:rowOff>
    </xdr:to>
    <xdr:sp>
      <xdr:nvSpPr>
        <xdr:cNvPr id="56" name="Line 764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70</xdr:row>
      <xdr:rowOff>200025</xdr:rowOff>
    </xdr:from>
    <xdr:to>
      <xdr:col>31</xdr:col>
      <xdr:colOff>0</xdr:colOff>
      <xdr:row>71</xdr:row>
      <xdr:rowOff>28575</xdr:rowOff>
    </xdr:to>
    <xdr:sp>
      <xdr:nvSpPr>
        <xdr:cNvPr id="57" name="Line 765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71</xdr:row>
      <xdr:rowOff>200025</xdr:rowOff>
    </xdr:from>
    <xdr:to>
      <xdr:col>31</xdr:col>
      <xdr:colOff>0</xdr:colOff>
      <xdr:row>72</xdr:row>
      <xdr:rowOff>28575</xdr:rowOff>
    </xdr:to>
    <xdr:sp>
      <xdr:nvSpPr>
        <xdr:cNvPr id="58" name="Line 766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72</xdr:row>
      <xdr:rowOff>200025</xdr:rowOff>
    </xdr:from>
    <xdr:to>
      <xdr:col>31</xdr:col>
      <xdr:colOff>0</xdr:colOff>
      <xdr:row>73</xdr:row>
      <xdr:rowOff>28575</xdr:rowOff>
    </xdr:to>
    <xdr:sp>
      <xdr:nvSpPr>
        <xdr:cNvPr id="59" name="Line 767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73</xdr:row>
      <xdr:rowOff>200025</xdr:rowOff>
    </xdr:from>
    <xdr:to>
      <xdr:col>31</xdr:col>
      <xdr:colOff>0</xdr:colOff>
      <xdr:row>74</xdr:row>
      <xdr:rowOff>28575</xdr:rowOff>
    </xdr:to>
    <xdr:sp>
      <xdr:nvSpPr>
        <xdr:cNvPr id="60" name="Line 768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74</xdr:row>
      <xdr:rowOff>200025</xdr:rowOff>
    </xdr:from>
    <xdr:to>
      <xdr:col>31</xdr:col>
      <xdr:colOff>0</xdr:colOff>
      <xdr:row>75</xdr:row>
      <xdr:rowOff>28575</xdr:rowOff>
    </xdr:to>
    <xdr:sp>
      <xdr:nvSpPr>
        <xdr:cNvPr id="61" name="Line 769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75</xdr:row>
      <xdr:rowOff>200025</xdr:rowOff>
    </xdr:from>
    <xdr:to>
      <xdr:col>31</xdr:col>
      <xdr:colOff>0</xdr:colOff>
      <xdr:row>76</xdr:row>
      <xdr:rowOff>28575</xdr:rowOff>
    </xdr:to>
    <xdr:sp>
      <xdr:nvSpPr>
        <xdr:cNvPr id="62" name="Line 770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76</xdr:row>
      <xdr:rowOff>200025</xdr:rowOff>
    </xdr:from>
    <xdr:to>
      <xdr:col>31</xdr:col>
      <xdr:colOff>0</xdr:colOff>
      <xdr:row>77</xdr:row>
      <xdr:rowOff>28575</xdr:rowOff>
    </xdr:to>
    <xdr:sp>
      <xdr:nvSpPr>
        <xdr:cNvPr id="63" name="Line 771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200025</xdr:rowOff>
    </xdr:from>
    <xdr:to>
      <xdr:col>31</xdr:col>
      <xdr:colOff>0</xdr:colOff>
      <xdr:row>78</xdr:row>
      <xdr:rowOff>28575</xdr:rowOff>
    </xdr:to>
    <xdr:sp>
      <xdr:nvSpPr>
        <xdr:cNvPr id="64" name="Line 772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78</xdr:row>
      <xdr:rowOff>200025</xdr:rowOff>
    </xdr:from>
    <xdr:to>
      <xdr:col>31</xdr:col>
      <xdr:colOff>0</xdr:colOff>
      <xdr:row>79</xdr:row>
      <xdr:rowOff>28575</xdr:rowOff>
    </xdr:to>
    <xdr:sp>
      <xdr:nvSpPr>
        <xdr:cNvPr id="65" name="Line 773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79</xdr:row>
      <xdr:rowOff>200025</xdr:rowOff>
    </xdr:from>
    <xdr:to>
      <xdr:col>31</xdr:col>
      <xdr:colOff>0</xdr:colOff>
      <xdr:row>80</xdr:row>
      <xdr:rowOff>28575</xdr:rowOff>
    </xdr:to>
    <xdr:sp>
      <xdr:nvSpPr>
        <xdr:cNvPr id="66" name="Line 774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80</xdr:row>
      <xdr:rowOff>200025</xdr:rowOff>
    </xdr:from>
    <xdr:to>
      <xdr:col>31</xdr:col>
      <xdr:colOff>0</xdr:colOff>
      <xdr:row>81</xdr:row>
      <xdr:rowOff>28575</xdr:rowOff>
    </xdr:to>
    <xdr:sp>
      <xdr:nvSpPr>
        <xdr:cNvPr id="67" name="Line 775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81</xdr:row>
      <xdr:rowOff>200025</xdr:rowOff>
    </xdr:from>
    <xdr:to>
      <xdr:col>31</xdr:col>
      <xdr:colOff>0</xdr:colOff>
      <xdr:row>82</xdr:row>
      <xdr:rowOff>28575</xdr:rowOff>
    </xdr:to>
    <xdr:sp>
      <xdr:nvSpPr>
        <xdr:cNvPr id="68" name="Line 776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82</xdr:row>
      <xdr:rowOff>200025</xdr:rowOff>
    </xdr:from>
    <xdr:to>
      <xdr:col>31</xdr:col>
      <xdr:colOff>0</xdr:colOff>
      <xdr:row>83</xdr:row>
      <xdr:rowOff>28575</xdr:rowOff>
    </xdr:to>
    <xdr:sp>
      <xdr:nvSpPr>
        <xdr:cNvPr id="69" name="Line 777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83</xdr:row>
      <xdr:rowOff>200025</xdr:rowOff>
    </xdr:from>
    <xdr:to>
      <xdr:col>31</xdr:col>
      <xdr:colOff>0</xdr:colOff>
      <xdr:row>84</xdr:row>
      <xdr:rowOff>28575</xdr:rowOff>
    </xdr:to>
    <xdr:sp>
      <xdr:nvSpPr>
        <xdr:cNvPr id="70" name="Line 778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200025</xdr:rowOff>
    </xdr:from>
    <xdr:to>
      <xdr:col>31</xdr:col>
      <xdr:colOff>0</xdr:colOff>
      <xdr:row>85</xdr:row>
      <xdr:rowOff>28575</xdr:rowOff>
    </xdr:to>
    <xdr:sp>
      <xdr:nvSpPr>
        <xdr:cNvPr id="71" name="Line 779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85</xdr:row>
      <xdr:rowOff>200025</xdr:rowOff>
    </xdr:from>
    <xdr:to>
      <xdr:col>31</xdr:col>
      <xdr:colOff>0</xdr:colOff>
      <xdr:row>86</xdr:row>
      <xdr:rowOff>28575</xdr:rowOff>
    </xdr:to>
    <xdr:sp>
      <xdr:nvSpPr>
        <xdr:cNvPr id="72" name="Line 780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86</xdr:row>
      <xdr:rowOff>200025</xdr:rowOff>
    </xdr:from>
    <xdr:to>
      <xdr:col>31</xdr:col>
      <xdr:colOff>0</xdr:colOff>
      <xdr:row>87</xdr:row>
      <xdr:rowOff>28575</xdr:rowOff>
    </xdr:to>
    <xdr:sp>
      <xdr:nvSpPr>
        <xdr:cNvPr id="73" name="Line 781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87</xdr:row>
      <xdr:rowOff>200025</xdr:rowOff>
    </xdr:from>
    <xdr:to>
      <xdr:col>31</xdr:col>
      <xdr:colOff>0</xdr:colOff>
      <xdr:row>88</xdr:row>
      <xdr:rowOff>28575</xdr:rowOff>
    </xdr:to>
    <xdr:sp>
      <xdr:nvSpPr>
        <xdr:cNvPr id="74" name="Line 782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88</xdr:row>
      <xdr:rowOff>200025</xdr:rowOff>
    </xdr:from>
    <xdr:to>
      <xdr:col>31</xdr:col>
      <xdr:colOff>0</xdr:colOff>
      <xdr:row>89</xdr:row>
      <xdr:rowOff>28575</xdr:rowOff>
    </xdr:to>
    <xdr:sp>
      <xdr:nvSpPr>
        <xdr:cNvPr id="75" name="Line 783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89</xdr:row>
      <xdr:rowOff>200025</xdr:rowOff>
    </xdr:from>
    <xdr:to>
      <xdr:col>31</xdr:col>
      <xdr:colOff>0</xdr:colOff>
      <xdr:row>90</xdr:row>
      <xdr:rowOff>28575</xdr:rowOff>
    </xdr:to>
    <xdr:sp>
      <xdr:nvSpPr>
        <xdr:cNvPr id="76" name="Line 784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90</xdr:row>
      <xdr:rowOff>200025</xdr:rowOff>
    </xdr:from>
    <xdr:to>
      <xdr:col>31</xdr:col>
      <xdr:colOff>0</xdr:colOff>
      <xdr:row>91</xdr:row>
      <xdr:rowOff>28575</xdr:rowOff>
    </xdr:to>
    <xdr:sp>
      <xdr:nvSpPr>
        <xdr:cNvPr id="77" name="Line 785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91</xdr:row>
      <xdr:rowOff>200025</xdr:rowOff>
    </xdr:from>
    <xdr:to>
      <xdr:col>31</xdr:col>
      <xdr:colOff>0</xdr:colOff>
      <xdr:row>92</xdr:row>
      <xdr:rowOff>28575</xdr:rowOff>
    </xdr:to>
    <xdr:sp>
      <xdr:nvSpPr>
        <xdr:cNvPr id="78" name="Line 786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92</xdr:row>
      <xdr:rowOff>200025</xdr:rowOff>
    </xdr:from>
    <xdr:to>
      <xdr:col>31</xdr:col>
      <xdr:colOff>0</xdr:colOff>
      <xdr:row>93</xdr:row>
      <xdr:rowOff>28575</xdr:rowOff>
    </xdr:to>
    <xdr:sp>
      <xdr:nvSpPr>
        <xdr:cNvPr id="79" name="Line 787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93</xdr:row>
      <xdr:rowOff>200025</xdr:rowOff>
    </xdr:from>
    <xdr:to>
      <xdr:col>31</xdr:col>
      <xdr:colOff>0</xdr:colOff>
      <xdr:row>94</xdr:row>
      <xdr:rowOff>28575</xdr:rowOff>
    </xdr:to>
    <xdr:sp>
      <xdr:nvSpPr>
        <xdr:cNvPr id="80" name="Line 788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94</xdr:row>
      <xdr:rowOff>200025</xdr:rowOff>
    </xdr:from>
    <xdr:to>
      <xdr:col>31</xdr:col>
      <xdr:colOff>0</xdr:colOff>
      <xdr:row>95</xdr:row>
      <xdr:rowOff>28575</xdr:rowOff>
    </xdr:to>
    <xdr:sp>
      <xdr:nvSpPr>
        <xdr:cNvPr id="81" name="Line 789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95</xdr:row>
      <xdr:rowOff>200025</xdr:rowOff>
    </xdr:from>
    <xdr:to>
      <xdr:col>31</xdr:col>
      <xdr:colOff>0</xdr:colOff>
      <xdr:row>96</xdr:row>
      <xdr:rowOff>28575</xdr:rowOff>
    </xdr:to>
    <xdr:sp>
      <xdr:nvSpPr>
        <xdr:cNvPr id="82" name="Line 790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96</xdr:row>
      <xdr:rowOff>200025</xdr:rowOff>
    </xdr:from>
    <xdr:to>
      <xdr:col>31</xdr:col>
      <xdr:colOff>0</xdr:colOff>
      <xdr:row>97</xdr:row>
      <xdr:rowOff>28575</xdr:rowOff>
    </xdr:to>
    <xdr:sp>
      <xdr:nvSpPr>
        <xdr:cNvPr id="83" name="Line 791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97</xdr:row>
      <xdr:rowOff>200025</xdr:rowOff>
    </xdr:from>
    <xdr:to>
      <xdr:col>31</xdr:col>
      <xdr:colOff>0</xdr:colOff>
      <xdr:row>98</xdr:row>
      <xdr:rowOff>28575</xdr:rowOff>
    </xdr:to>
    <xdr:sp>
      <xdr:nvSpPr>
        <xdr:cNvPr id="84" name="Line 792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98</xdr:row>
      <xdr:rowOff>200025</xdr:rowOff>
    </xdr:from>
    <xdr:to>
      <xdr:col>31</xdr:col>
      <xdr:colOff>0</xdr:colOff>
      <xdr:row>99</xdr:row>
      <xdr:rowOff>28575</xdr:rowOff>
    </xdr:to>
    <xdr:sp>
      <xdr:nvSpPr>
        <xdr:cNvPr id="85" name="Line 793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99</xdr:row>
      <xdr:rowOff>200025</xdr:rowOff>
    </xdr:from>
    <xdr:to>
      <xdr:col>31</xdr:col>
      <xdr:colOff>0</xdr:colOff>
      <xdr:row>100</xdr:row>
      <xdr:rowOff>28575</xdr:rowOff>
    </xdr:to>
    <xdr:sp>
      <xdr:nvSpPr>
        <xdr:cNvPr id="86" name="Line 794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100</xdr:row>
      <xdr:rowOff>200025</xdr:rowOff>
    </xdr:from>
    <xdr:to>
      <xdr:col>31</xdr:col>
      <xdr:colOff>0</xdr:colOff>
      <xdr:row>101</xdr:row>
      <xdr:rowOff>28575</xdr:rowOff>
    </xdr:to>
    <xdr:sp>
      <xdr:nvSpPr>
        <xdr:cNvPr id="87" name="Line 795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101</xdr:row>
      <xdr:rowOff>200025</xdr:rowOff>
    </xdr:from>
    <xdr:to>
      <xdr:col>31</xdr:col>
      <xdr:colOff>0</xdr:colOff>
      <xdr:row>102</xdr:row>
      <xdr:rowOff>28575</xdr:rowOff>
    </xdr:to>
    <xdr:sp>
      <xdr:nvSpPr>
        <xdr:cNvPr id="88" name="Line 796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102</xdr:row>
      <xdr:rowOff>200025</xdr:rowOff>
    </xdr:from>
    <xdr:to>
      <xdr:col>31</xdr:col>
      <xdr:colOff>0</xdr:colOff>
      <xdr:row>103</xdr:row>
      <xdr:rowOff>28575</xdr:rowOff>
    </xdr:to>
    <xdr:sp>
      <xdr:nvSpPr>
        <xdr:cNvPr id="89" name="Line 797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103</xdr:row>
      <xdr:rowOff>200025</xdr:rowOff>
    </xdr:from>
    <xdr:to>
      <xdr:col>31</xdr:col>
      <xdr:colOff>0</xdr:colOff>
      <xdr:row>104</xdr:row>
      <xdr:rowOff>28575</xdr:rowOff>
    </xdr:to>
    <xdr:sp>
      <xdr:nvSpPr>
        <xdr:cNvPr id="90" name="Line 798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104</xdr:row>
      <xdr:rowOff>200025</xdr:rowOff>
    </xdr:from>
    <xdr:to>
      <xdr:col>31</xdr:col>
      <xdr:colOff>0</xdr:colOff>
      <xdr:row>105</xdr:row>
      <xdr:rowOff>28575</xdr:rowOff>
    </xdr:to>
    <xdr:sp>
      <xdr:nvSpPr>
        <xdr:cNvPr id="91" name="Line 799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105</xdr:row>
      <xdr:rowOff>200025</xdr:rowOff>
    </xdr:from>
    <xdr:to>
      <xdr:col>31</xdr:col>
      <xdr:colOff>0</xdr:colOff>
      <xdr:row>106</xdr:row>
      <xdr:rowOff>28575</xdr:rowOff>
    </xdr:to>
    <xdr:sp>
      <xdr:nvSpPr>
        <xdr:cNvPr id="92" name="Line 800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106</xdr:row>
      <xdr:rowOff>200025</xdr:rowOff>
    </xdr:from>
    <xdr:to>
      <xdr:col>31</xdr:col>
      <xdr:colOff>0</xdr:colOff>
      <xdr:row>107</xdr:row>
      <xdr:rowOff>28575</xdr:rowOff>
    </xdr:to>
    <xdr:sp>
      <xdr:nvSpPr>
        <xdr:cNvPr id="93" name="Line 801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107</xdr:row>
      <xdr:rowOff>200025</xdr:rowOff>
    </xdr:from>
    <xdr:to>
      <xdr:col>31</xdr:col>
      <xdr:colOff>0</xdr:colOff>
      <xdr:row>108</xdr:row>
      <xdr:rowOff>28575</xdr:rowOff>
    </xdr:to>
    <xdr:sp>
      <xdr:nvSpPr>
        <xdr:cNvPr id="94" name="Line 802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108</xdr:row>
      <xdr:rowOff>200025</xdr:rowOff>
    </xdr:from>
    <xdr:to>
      <xdr:col>31</xdr:col>
      <xdr:colOff>0</xdr:colOff>
      <xdr:row>109</xdr:row>
      <xdr:rowOff>28575</xdr:rowOff>
    </xdr:to>
    <xdr:sp>
      <xdr:nvSpPr>
        <xdr:cNvPr id="95" name="Line 803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109</xdr:row>
      <xdr:rowOff>200025</xdr:rowOff>
    </xdr:from>
    <xdr:to>
      <xdr:col>31</xdr:col>
      <xdr:colOff>0</xdr:colOff>
      <xdr:row>110</xdr:row>
      <xdr:rowOff>28575</xdr:rowOff>
    </xdr:to>
    <xdr:sp>
      <xdr:nvSpPr>
        <xdr:cNvPr id="96" name="Line 804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110</xdr:row>
      <xdr:rowOff>200025</xdr:rowOff>
    </xdr:from>
    <xdr:to>
      <xdr:col>31</xdr:col>
      <xdr:colOff>0</xdr:colOff>
      <xdr:row>111</xdr:row>
      <xdr:rowOff>28575</xdr:rowOff>
    </xdr:to>
    <xdr:sp>
      <xdr:nvSpPr>
        <xdr:cNvPr id="97" name="Line 805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111</xdr:row>
      <xdr:rowOff>200025</xdr:rowOff>
    </xdr:from>
    <xdr:to>
      <xdr:col>31</xdr:col>
      <xdr:colOff>0</xdr:colOff>
      <xdr:row>112</xdr:row>
      <xdr:rowOff>28575</xdr:rowOff>
    </xdr:to>
    <xdr:sp>
      <xdr:nvSpPr>
        <xdr:cNvPr id="98" name="Line 806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114300</xdr:colOff>
      <xdr:row>1</xdr:row>
      <xdr:rowOff>133350</xdr:rowOff>
    </xdr:from>
    <xdr:to>
      <xdr:col>73</xdr:col>
      <xdr:colOff>304800</xdr:colOff>
      <xdr:row>9</xdr:row>
      <xdr:rowOff>47625</xdr:rowOff>
    </xdr:to>
    <xdr:sp>
      <xdr:nvSpPr>
        <xdr:cNvPr id="99" name="Rectangle 830"/>
        <xdr:cNvSpPr>
          <a:spLocks/>
        </xdr:cNvSpPr>
      </xdr:nvSpPr>
      <xdr:spPr>
        <a:xfrm>
          <a:off x="14458950" y="504825"/>
          <a:ext cx="5810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FFFF00"/>
              </a:solidFill>
            </a:rPr>
            <a:t>Ｎ代</a:t>
          </a:r>
          <a:r>
            <a:rPr lang="en-US" cap="none" sz="1200" b="0" i="0" u="none" baseline="0">
              <a:solidFill>
                <a:srgbClr val="FFFF00"/>
              </a:solidFill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</a:rPr>
            <a:t>公文</a:t>
          </a:r>
        </a:p>
      </xdr:txBody>
    </xdr:sp>
    <xdr:clientData/>
  </xdr:twoCellAnchor>
  <xdr:twoCellAnchor editAs="oneCell">
    <xdr:from>
      <xdr:col>69</xdr:col>
      <xdr:colOff>342900</xdr:colOff>
      <xdr:row>0</xdr:row>
      <xdr:rowOff>209550</xdr:rowOff>
    </xdr:from>
    <xdr:to>
      <xdr:col>78</xdr:col>
      <xdr:colOff>9525</xdr:colOff>
      <xdr:row>17</xdr:row>
      <xdr:rowOff>57150</xdr:rowOff>
    </xdr:to>
    <xdr:pic>
      <xdr:nvPicPr>
        <xdr:cNvPr id="100" name="Picture 831" descr="0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15975" y="209550"/>
          <a:ext cx="31813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314325</xdr:colOff>
      <xdr:row>0</xdr:row>
      <xdr:rowOff>95250</xdr:rowOff>
    </xdr:from>
    <xdr:to>
      <xdr:col>33</xdr:col>
      <xdr:colOff>66675</xdr:colOff>
      <xdr:row>2</xdr:row>
      <xdr:rowOff>9525</xdr:rowOff>
    </xdr:to>
    <xdr:pic macro="[0]!Macro1">
      <xdr:nvPicPr>
        <xdr:cNvPr id="101" name="Picture 847" descr="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53600" y="95250"/>
          <a:ext cx="923925" cy="466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38</xdr:col>
      <xdr:colOff>0</xdr:colOff>
      <xdr:row>29</xdr:row>
      <xdr:rowOff>219075</xdr:rowOff>
    </xdr:from>
    <xdr:to>
      <xdr:col>38</xdr:col>
      <xdr:colOff>0</xdr:colOff>
      <xdr:row>30</xdr:row>
      <xdr:rowOff>28575</xdr:rowOff>
    </xdr:to>
    <xdr:sp>
      <xdr:nvSpPr>
        <xdr:cNvPr id="102" name="Line 724"/>
        <xdr:cNvSpPr>
          <a:spLocks/>
        </xdr:cNvSpPr>
      </xdr:nvSpPr>
      <xdr:spPr>
        <a:xfrm>
          <a:off x="12563475" y="5334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2409825</xdr:colOff>
      <xdr:row>30</xdr:row>
      <xdr:rowOff>114300</xdr:rowOff>
    </xdr:from>
    <xdr:to>
      <xdr:col>25</xdr:col>
      <xdr:colOff>95250</xdr:colOff>
      <xdr:row>30</xdr:row>
      <xdr:rowOff>114300</xdr:rowOff>
    </xdr:to>
    <xdr:sp>
      <xdr:nvSpPr>
        <xdr:cNvPr id="103" name="直線單箭頭接點 107"/>
        <xdr:cNvSpPr>
          <a:spLocks/>
        </xdr:cNvSpPr>
      </xdr:nvSpPr>
      <xdr:spPr>
        <a:xfrm>
          <a:off x="7181850" y="5648325"/>
          <a:ext cx="400050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24</xdr:col>
      <xdr:colOff>1143000</xdr:colOff>
      <xdr:row>4</xdr:row>
      <xdr:rowOff>19050</xdr:rowOff>
    </xdr:from>
    <xdr:to>
      <xdr:col>25</xdr:col>
      <xdr:colOff>314325</xdr:colOff>
      <xdr:row>7</xdr:row>
      <xdr:rowOff>142875</xdr:rowOff>
    </xdr:to>
    <xdr:pic>
      <xdr:nvPicPr>
        <xdr:cNvPr id="104" name="圖片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638175"/>
          <a:ext cx="1885950" cy="638175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</xdr:pic>
    <xdr:clientData/>
  </xdr:twoCellAnchor>
  <xdr:twoCellAnchor>
    <xdr:from>
      <xdr:col>38</xdr:col>
      <xdr:colOff>0</xdr:colOff>
      <xdr:row>30</xdr:row>
      <xdr:rowOff>190500</xdr:rowOff>
    </xdr:from>
    <xdr:to>
      <xdr:col>38</xdr:col>
      <xdr:colOff>0</xdr:colOff>
      <xdr:row>31</xdr:row>
      <xdr:rowOff>28575</xdr:rowOff>
    </xdr:to>
    <xdr:sp>
      <xdr:nvSpPr>
        <xdr:cNvPr id="105" name="Line 724"/>
        <xdr:cNvSpPr>
          <a:spLocks/>
        </xdr:cNvSpPr>
      </xdr:nvSpPr>
      <xdr:spPr>
        <a:xfrm>
          <a:off x="12563475" y="572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190500</xdr:rowOff>
    </xdr:from>
    <xdr:to>
      <xdr:col>38</xdr:col>
      <xdr:colOff>0</xdr:colOff>
      <xdr:row>32</xdr:row>
      <xdr:rowOff>28575</xdr:rowOff>
    </xdr:to>
    <xdr:sp>
      <xdr:nvSpPr>
        <xdr:cNvPr id="106" name="Line 724"/>
        <xdr:cNvSpPr>
          <a:spLocks/>
        </xdr:cNvSpPr>
      </xdr:nvSpPr>
      <xdr:spPr>
        <a:xfrm>
          <a:off x="12563475" y="591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190500</xdr:rowOff>
    </xdr:from>
    <xdr:to>
      <xdr:col>38</xdr:col>
      <xdr:colOff>0</xdr:colOff>
      <xdr:row>33</xdr:row>
      <xdr:rowOff>28575</xdr:rowOff>
    </xdr:to>
    <xdr:sp>
      <xdr:nvSpPr>
        <xdr:cNvPr id="107" name="Line 724"/>
        <xdr:cNvSpPr>
          <a:spLocks/>
        </xdr:cNvSpPr>
      </xdr:nvSpPr>
      <xdr:spPr>
        <a:xfrm>
          <a:off x="12563475" y="610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33</xdr:row>
      <xdr:rowOff>190500</xdr:rowOff>
    </xdr:from>
    <xdr:to>
      <xdr:col>38</xdr:col>
      <xdr:colOff>0</xdr:colOff>
      <xdr:row>34</xdr:row>
      <xdr:rowOff>28575</xdr:rowOff>
    </xdr:to>
    <xdr:sp>
      <xdr:nvSpPr>
        <xdr:cNvPr id="108" name="Line 724"/>
        <xdr:cNvSpPr>
          <a:spLocks/>
        </xdr:cNvSpPr>
      </xdr:nvSpPr>
      <xdr:spPr>
        <a:xfrm>
          <a:off x="12563475" y="629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190500</xdr:rowOff>
    </xdr:from>
    <xdr:to>
      <xdr:col>38</xdr:col>
      <xdr:colOff>0</xdr:colOff>
      <xdr:row>35</xdr:row>
      <xdr:rowOff>28575</xdr:rowOff>
    </xdr:to>
    <xdr:sp>
      <xdr:nvSpPr>
        <xdr:cNvPr id="109" name="Line 724"/>
        <xdr:cNvSpPr>
          <a:spLocks/>
        </xdr:cNvSpPr>
      </xdr:nvSpPr>
      <xdr:spPr>
        <a:xfrm>
          <a:off x="12563475" y="648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190500</xdr:rowOff>
    </xdr:from>
    <xdr:to>
      <xdr:col>38</xdr:col>
      <xdr:colOff>0</xdr:colOff>
      <xdr:row>36</xdr:row>
      <xdr:rowOff>28575</xdr:rowOff>
    </xdr:to>
    <xdr:sp>
      <xdr:nvSpPr>
        <xdr:cNvPr id="110" name="Line 724"/>
        <xdr:cNvSpPr>
          <a:spLocks/>
        </xdr:cNvSpPr>
      </xdr:nvSpPr>
      <xdr:spPr>
        <a:xfrm>
          <a:off x="12563475" y="667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190500</xdr:rowOff>
    </xdr:from>
    <xdr:to>
      <xdr:col>38</xdr:col>
      <xdr:colOff>0</xdr:colOff>
      <xdr:row>37</xdr:row>
      <xdr:rowOff>28575</xdr:rowOff>
    </xdr:to>
    <xdr:sp>
      <xdr:nvSpPr>
        <xdr:cNvPr id="111" name="Line 724"/>
        <xdr:cNvSpPr>
          <a:spLocks/>
        </xdr:cNvSpPr>
      </xdr:nvSpPr>
      <xdr:spPr>
        <a:xfrm>
          <a:off x="12563475" y="686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190500</xdr:rowOff>
    </xdr:from>
    <xdr:to>
      <xdr:col>38</xdr:col>
      <xdr:colOff>0</xdr:colOff>
      <xdr:row>38</xdr:row>
      <xdr:rowOff>28575</xdr:rowOff>
    </xdr:to>
    <xdr:sp>
      <xdr:nvSpPr>
        <xdr:cNvPr id="112" name="Line 724"/>
        <xdr:cNvSpPr>
          <a:spLocks/>
        </xdr:cNvSpPr>
      </xdr:nvSpPr>
      <xdr:spPr>
        <a:xfrm>
          <a:off x="12563475" y="705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190500</xdr:rowOff>
    </xdr:from>
    <xdr:to>
      <xdr:col>38</xdr:col>
      <xdr:colOff>0</xdr:colOff>
      <xdr:row>39</xdr:row>
      <xdr:rowOff>28575</xdr:rowOff>
    </xdr:to>
    <xdr:sp>
      <xdr:nvSpPr>
        <xdr:cNvPr id="113" name="Line 724"/>
        <xdr:cNvSpPr>
          <a:spLocks/>
        </xdr:cNvSpPr>
      </xdr:nvSpPr>
      <xdr:spPr>
        <a:xfrm>
          <a:off x="12563475" y="724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190500</xdr:rowOff>
    </xdr:from>
    <xdr:to>
      <xdr:col>38</xdr:col>
      <xdr:colOff>0</xdr:colOff>
      <xdr:row>40</xdr:row>
      <xdr:rowOff>28575</xdr:rowOff>
    </xdr:to>
    <xdr:sp>
      <xdr:nvSpPr>
        <xdr:cNvPr id="114" name="Line 724"/>
        <xdr:cNvSpPr>
          <a:spLocks/>
        </xdr:cNvSpPr>
      </xdr:nvSpPr>
      <xdr:spPr>
        <a:xfrm>
          <a:off x="12563475" y="743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40</xdr:row>
      <xdr:rowOff>190500</xdr:rowOff>
    </xdr:from>
    <xdr:to>
      <xdr:col>38</xdr:col>
      <xdr:colOff>0</xdr:colOff>
      <xdr:row>41</xdr:row>
      <xdr:rowOff>28575</xdr:rowOff>
    </xdr:to>
    <xdr:sp>
      <xdr:nvSpPr>
        <xdr:cNvPr id="115" name="Line 724"/>
        <xdr:cNvSpPr>
          <a:spLocks/>
        </xdr:cNvSpPr>
      </xdr:nvSpPr>
      <xdr:spPr>
        <a:xfrm>
          <a:off x="12563475" y="762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190500</xdr:rowOff>
    </xdr:from>
    <xdr:to>
      <xdr:col>38</xdr:col>
      <xdr:colOff>0</xdr:colOff>
      <xdr:row>42</xdr:row>
      <xdr:rowOff>28575</xdr:rowOff>
    </xdr:to>
    <xdr:sp>
      <xdr:nvSpPr>
        <xdr:cNvPr id="116" name="Line 724"/>
        <xdr:cNvSpPr>
          <a:spLocks/>
        </xdr:cNvSpPr>
      </xdr:nvSpPr>
      <xdr:spPr>
        <a:xfrm>
          <a:off x="12563475" y="782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42</xdr:row>
      <xdr:rowOff>190500</xdr:rowOff>
    </xdr:from>
    <xdr:to>
      <xdr:col>38</xdr:col>
      <xdr:colOff>0</xdr:colOff>
      <xdr:row>43</xdr:row>
      <xdr:rowOff>28575</xdr:rowOff>
    </xdr:to>
    <xdr:sp>
      <xdr:nvSpPr>
        <xdr:cNvPr id="117" name="Line 724"/>
        <xdr:cNvSpPr>
          <a:spLocks/>
        </xdr:cNvSpPr>
      </xdr:nvSpPr>
      <xdr:spPr>
        <a:xfrm>
          <a:off x="12563475" y="801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43</xdr:row>
      <xdr:rowOff>190500</xdr:rowOff>
    </xdr:from>
    <xdr:to>
      <xdr:col>38</xdr:col>
      <xdr:colOff>0</xdr:colOff>
      <xdr:row>44</xdr:row>
      <xdr:rowOff>28575</xdr:rowOff>
    </xdr:to>
    <xdr:sp>
      <xdr:nvSpPr>
        <xdr:cNvPr id="118" name="Line 724"/>
        <xdr:cNvSpPr>
          <a:spLocks/>
        </xdr:cNvSpPr>
      </xdr:nvSpPr>
      <xdr:spPr>
        <a:xfrm>
          <a:off x="12563475" y="820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44</xdr:row>
      <xdr:rowOff>190500</xdr:rowOff>
    </xdr:from>
    <xdr:to>
      <xdr:col>38</xdr:col>
      <xdr:colOff>0</xdr:colOff>
      <xdr:row>45</xdr:row>
      <xdr:rowOff>28575</xdr:rowOff>
    </xdr:to>
    <xdr:sp>
      <xdr:nvSpPr>
        <xdr:cNvPr id="119" name="Line 724"/>
        <xdr:cNvSpPr>
          <a:spLocks/>
        </xdr:cNvSpPr>
      </xdr:nvSpPr>
      <xdr:spPr>
        <a:xfrm>
          <a:off x="12563475" y="839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45</xdr:row>
      <xdr:rowOff>190500</xdr:rowOff>
    </xdr:from>
    <xdr:to>
      <xdr:col>38</xdr:col>
      <xdr:colOff>0</xdr:colOff>
      <xdr:row>46</xdr:row>
      <xdr:rowOff>28575</xdr:rowOff>
    </xdr:to>
    <xdr:sp>
      <xdr:nvSpPr>
        <xdr:cNvPr id="120" name="Line 724"/>
        <xdr:cNvSpPr>
          <a:spLocks/>
        </xdr:cNvSpPr>
      </xdr:nvSpPr>
      <xdr:spPr>
        <a:xfrm>
          <a:off x="12563475" y="858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190500</xdr:rowOff>
    </xdr:from>
    <xdr:to>
      <xdr:col>38</xdr:col>
      <xdr:colOff>0</xdr:colOff>
      <xdr:row>47</xdr:row>
      <xdr:rowOff>28575</xdr:rowOff>
    </xdr:to>
    <xdr:sp>
      <xdr:nvSpPr>
        <xdr:cNvPr id="121" name="Line 724"/>
        <xdr:cNvSpPr>
          <a:spLocks/>
        </xdr:cNvSpPr>
      </xdr:nvSpPr>
      <xdr:spPr>
        <a:xfrm>
          <a:off x="12563475" y="877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47</xdr:row>
      <xdr:rowOff>190500</xdr:rowOff>
    </xdr:from>
    <xdr:to>
      <xdr:col>38</xdr:col>
      <xdr:colOff>0</xdr:colOff>
      <xdr:row>48</xdr:row>
      <xdr:rowOff>28575</xdr:rowOff>
    </xdr:to>
    <xdr:sp>
      <xdr:nvSpPr>
        <xdr:cNvPr id="122" name="Line 724"/>
        <xdr:cNvSpPr>
          <a:spLocks/>
        </xdr:cNvSpPr>
      </xdr:nvSpPr>
      <xdr:spPr>
        <a:xfrm>
          <a:off x="12563475" y="896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48</xdr:row>
      <xdr:rowOff>190500</xdr:rowOff>
    </xdr:from>
    <xdr:to>
      <xdr:col>38</xdr:col>
      <xdr:colOff>0</xdr:colOff>
      <xdr:row>49</xdr:row>
      <xdr:rowOff>28575</xdr:rowOff>
    </xdr:to>
    <xdr:sp>
      <xdr:nvSpPr>
        <xdr:cNvPr id="123" name="Line 724"/>
        <xdr:cNvSpPr>
          <a:spLocks/>
        </xdr:cNvSpPr>
      </xdr:nvSpPr>
      <xdr:spPr>
        <a:xfrm>
          <a:off x="12563475" y="915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49</xdr:row>
      <xdr:rowOff>190500</xdr:rowOff>
    </xdr:from>
    <xdr:to>
      <xdr:col>38</xdr:col>
      <xdr:colOff>0</xdr:colOff>
      <xdr:row>50</xdr:row>
      <xdr:rowOff>28575</xdr:rowOff>
    </xdr:to>
    <xdr:sp>
      <xdr:nvSpPr>
        <xdr:cNvPr id="124" name="Line 724"/>
        <xdr:cNvSpPr>
          <a:spLocks/>
        </xdr:cNvSpPr>
      </xdr:nvSpPr>
      <xdr:spPr>
        <a:xfrm>
          <a:off x="12563475" y="9344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50</xdr:row>
      <xdr:rowOff>190500</xdr:rowOff>
    </xdr:from>
    <xdr:to>
      <xdr:col>38</xdr:col>
      <xdr:colOff>0</xdr:colOff>
      <xdr:row>51</xdr:row>
      <xdr:rowOff>28575</xdr:rowOff>
    </xdr:to>
    <xdr:sp>
      <xdr:nvSpPr>
        <xdr:cNvPr id="125" name="Line 724"/>
        <xdr:cNvSpPr>
          <a:spLocks/>
        </xdr:cNvSpPr>
      </xdr:nvSpPr>
      <xdr:spPr>
        <a:xfrm>
          <a:off x="12563475" y="953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51</xdr:row>
      <xdr:rowOff>190500</xdr:rowOff>
    </xdr:from>
    <xdr:to>
      <xdr:col>38</xdr:col>
      <xdr:colOff>0</xdr:colOff>
      <xdr:row>52</xdr:row>
      <xdr:rowOff>28575</xdr:rowOff>
    </xdr:to>
    <xdr:sp>
      <xdr:nvSpPr>
        <xdr:cNvPr id="126" name="Line 724"/>
        <xdr:cNvSpPr>
          <a:spLocks/>
        </xdr:cNvSpPr>
      </xdr:nvSpPr>
      <xdr:spPr>
        <a:xfrm>
          <a:off x="12563475" y="972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52</xdr:row>
      <xdr:rowOff>190500</xdr:rowOff>
    </xdr:from>
    <xdr:to>
      <xdr:col>38</xdr:col>
      <xdr:colOff>0</xdr:colOff>
      <xdr:row>53</xdr:row>
      <xdr:rowOff>28575</xdr:rowOff>
    </xdr:to>
    <xdr:sp>
      <xdr:nvSpPr>
        <xdr:cNvPr id="127" name="Line 724"/>
        <xdr:cNvSpPr>
          <a:spLocks/>
        </xdr:cNvSpPr>
      </xdr:nvSpPr>
      <xdr:spPr>
        <a:xfrm>
          <a:off x="12563475" y="991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53</xdr:row>
      <xdr:rowOff>190500</xdr:rowOff>
    </xdr:from>
    <xdr:to>
      <xdr:col>38</xdr:col>
      <xdr:colOff>0</xdr:colOff>
      <xdr:row>54</xdr:row>
      <xdr:rowOff>28575</xdr:rowOff>
    </xdr:to>
    <xdr:sp>
      <xdr:nvSpPr>
        <xdr:cNvPr id="128" name="Line 724"/>
        <xdr:cNvSpPr>
          <a:spLocks/>
        </xdr:cNvSpPr>
      </xdr:nvSpPr>
      <xdr:spPr>
        <a:xfrm>
          <a:off x="12563475" y="1010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54</xdr:row>
      <xdr:rowOff>190500</xdr:rowOff>
    </xdr:from>
    <xdr:to>
      <xdr:col>38</xdr:col>
      <xdr:colOff>0</xdr:colOff>
      <xdr:row>55</xdr:row>
      <xdr:rowOff>28575</xdr:rowOff>
    </xdr:to>
    <xdr:sp>
      <xdr:nvSpPr>
        <xdr:cNvPr id="129" name="Line 724"/>
        <xdr:cNvSpPr>
          <a:spLocks/>
        </xdr:cNvSpPr>
      </xdr:nvSpPr>
      <xdr:spPr>
        <a:xfrm>
          <a:off x="12563475" y="1029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190500</xdr:rowOff>
    </xdr:from>
    <xdr:to>
      <xdr:col>38</xdr:col>
      <xdr:colOff>0</xdr:colOff>
      <xdr:row>56</xdr:row>
      <xdr:rowOff>28575</xdr:rowOff>
    </xdr:to>
    <xdr:sp>
      <xdr:nvSpPr>
        <xdr:cNvPr id="130" name="Line 724"/>
        <xdr:cNvSpPr>
          <a:spLocks/>
        </xdr:cNvSpPr>
      </xdr:nvSpPr>
      <xdr:spPr>
        <a:xfrm>
          <a:off x="12563475" y="1048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56</xdr:row>
      <xdr:rowOff>190500</xdr:rowOff>
    </xdr:from>
    <xdr:to>
      <xdr:col>38</xdr:col>
      <xdr:colOff>0</xdr:colOff>
      <xdr:row>57</xdr:row>
      <xdr:rowOff>28575</xdr:rowOff>
    </xdr:to>
    <xdr:sp>
      <xdr:nvSpPr>
        <xdr:cNvPr id="131" name="Line 724"/>
        <xdr:cNvSpPr>
          <a:spLocks/>
        </xdr:cNvSpPr>
      </xdr:nvSpPr>
      <xdr:spPr>
        <a:xfrm>
          <a:off x="12563475" y="1067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57</xdr:row>
      <xdr:rowOff>190500</xdr:rowOff>
    </xdr:from>
    <xdr:to>
      <xdr:col>38</xdr:col>
      <xdr:colOff>0</xdr:colOff>
      <xdr:row>58</xdr:row>
      <xdr:rowOff>28575</xdr:rowOff>
    </xdr:to>
    <xdr:sp>
      <xdr:nvSpPr>
        <xdr:cNvPr id="132" name="Line 724"/>
        <xdr:cNvSpPr>
          <a:spLocks/>
        </xdr:cNvSpPr>
      </xdr:nvSpPr>
      <xdr:spPr>
        <a:xfrm>
          <a:off x="12563475" y="1086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58</xdr:row>
      <xdr:rowOff>190500</xdr:rowOff>
    </xdr:from>
    <xdr:to>
      <xdr:col>38</xdr:col>
      <xdr:colOff>0</xdr:colOff>
      <xdr:row>59</xdr:row>
      <xdr:rowOff>28575</xdr:rowOff>
    </xdr:to>
    <xdr:sp>
      <xdr:nvSpPr>
        <xdr:cNvPr id="133" name="Line 724"/>
        <xdr:cNvSpPr>
          <a:spLocks/>
        </xdr:cNvSpPr>
      </xdr:nvSpPr>
      <xdr:spPr>
        <a:xfrm>
          <a:off x="12563475" y="1105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190500</xdr:rowOff>
    </xdr:from>
    <xdr:to>
      <xdr:col>38</xdr:col>
      <xdr:colOff>0</xdr:colOff>
      <xdr:row>60</xdr:row>
      <xdr:rowOff>28575</xdr:rowOff>
    </xdr:to>
    <xdr:sp>
      <xdr:nvSpPr>
        <xdr:cNvPr id="134" name="Line 724"/>
        <xdr:cNvSpPr>
          <a:spLocks/>
        </xdr:cNvSpPr>
      </xdr:nvSpPr>
      <xdr:spPr>
        <a:xfrm>
          <a:off x="12563475" y="1124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60</xdr:row>
      <xdr:rowOff>190500</xdr:rowOff>
    </xdr:from>
    <xdr:to>
      <xdr:col>38</xdr:col>
      <xdr:colOff>0</xdr:colOff>
      <xdr:row>61</xdr:row>
      <xdr:rowOff>28575</xdr:rowOff>
    </xdr:to>
    <xdr:sp>
      <xdr:nvSpPr>
        <xdr:cNvPr id="135" name="Line 724"/>
        <xdr:cNvSpPr>
          <a:spLocks/>
        </xdr:cNvSpPr>
      </xdr:nvSpPr>
      <xdr:spPr>
        <a:xfrm>
          <a:off x="12563475" y="1143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61</xdr:row>
      <xdr:rowOff>190500</xdr:rowOff>
    </xdr:from>
    <xdr:to>
      <xdr:col>38</xdr:col>
      <xdr:colOff>0</xdr:colOff>
      <xdr:row>62</xdr:row>
      <xdr:rowOff>28575</xdr:rowOff>
    </xdr:to>
    <xdr:sp>
      <xdr:nvSpPr>
        <xdr:cNvPr id="136" name="Line 724"/>
        <xdr:cNvSpPr>
          <a:spLocks/>
        </xdr:cNvSpPr>
      </xdr:nvSpPr>
      <xdr:spPr>
        <a:xfrm>
          <a:off x="12563475" y="1163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62</xdr:row>
      <xdr:rowOff>190500</xdr:rowOff>
    </xdr:from>
    <xdr:to>
      <xdr:col>38</xdr:col>
      <xdr:colOff>0</xdr:colOff>
      <xdr:row>63</xdr:row>
      <xdr:rowOff>28575</xdr:rowOff>
    </xdr:to>
    <xdr:sp>
      <xdr:nvSpPr>
        <xdr:cNvPr id="137" name="Line 724"/>
        <xdr:cNvSpPr>
          <a:spLocks/>
        </xdr:cNvSpPr>
      </xdr:nvSpPr>
      <xdr:spPr>
        <a:xfrm>
          <a:off x="12563475" y="1182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63</xdr:row>
      <xdr:rowOff>190500</xdr:rowOff>
    </xdr:from>
    <xdr:to>
      <xdr:col>38</xdr:col>
      <xdr:colOff>0</xdr:colOff>
      <xdr:row>64</xdr:row>
      <xdr:rowOff>28575</xdr:rowOff>
    </xdr:to>
    <xdr:sp>
      <xdr:nvSpPr>
        <xdr:cNvPr id="138" name="Line 724"/>
        <xdr:cNvSpPr>
          <a:spLocks/>
        </xdr:cNvSpPr>
      </xdr:nvSpPr>
      <xdr:spPr>
        <a:xfrm>
          <a:off x="12563475" y="1201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190500</xdr:rowOff>
    </xdr:from>
    <xdr:to>
      <xdr:col>38</xdr:col>
      <xdr:colOff>0</xdr:colOff>
      <xdr:row>65</xdr:row>
      <xdr:rowOff>28575</xdr:rowOff>
    </xdr:to>
    <xdr:sp>
      <xdr:nvSpPr>
        <xdr:cNvPr id="139" name="Line 724"/>
        <xdr:cNvSpPr>
          <a:spLocks/>
        </xdr:cNvSpPr>
      </xdr:nvSpPr>
      <xdr:spPr>
        <a:xfrm>
          <a:off x="12563475" y="1220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65</xdr:row>
      <xdr:rowOff>190500</xdr:rowOff>
    </xdr:from>
    <xdr:to>
      <xdr:col>38</xdr:col>
      <xdr:colOff>0</xdr:colOff>
      <xdr:row>66</xdr:row>
      <xdr:rowOff>28575</xdr:rowOff>
    </xdr:to>
    <xdr:sp>
      <xdr:nvSpPr>
        <xdr:cNvPr id="140" name="Line 724"/>
        <xdr:cNvSpPr>
          <a:spLocks/>
        </xdr:cNvSpPr>
      </xdr:nvSpPr>
      <xdr:spPr>
        <a:xfrm>
          <a:off x="12563475" y="1239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66</xdr:row>
      <xdr:rowOff>190500</xdr:rowOff>
    </xdr:from>
    <xdr:to>
      <xdr:col>38</xdr:col>
      <xdr:colOff>0</xdr:colOff>
      <xdr:row>67</xdr:row>
      <xdr:rowOff>28575</xdr:rowOff>
    </xdr:to>
    <xdr:sp>
      <xdr:nvSpPr>
        <xdr:cNvPr id="141" name="Line 724"/>
        <xdr:cNvSpPr>
          <a:spLocks/>
        </xdr:cNvSpPr>
      </xdr:nvSpPr>
      <xdr:spPr>
        <a:xfrm>
          <a:off x="12563475" y="1258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67</xdr:row>
      <xdr:rowOff>190500</xdr:rowOff>
    </xdr:from>
    <xdr:to>
      <xdr:col>38</xdr:col>
      <xdr:colOff>0</xdr:colOff>
      <xdr:row>68</xdr:row>
      <xdr:rowOff>28575</xdr:rowOff>
    </xdr:to>
    <xdr:sp>
      <xdr:nvSpPr>
        <xdr:cNvPr id="142" name="Line 724"/>
        <xdr:cNvSpPr>
          <a:spLocks/>
        </xdr:cNvSpPr>
      </xdr:nvSpPr>
      <xdr:spPr>
        <a:xfrm>
          <a:off x="12563475" y="1277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68</xdr:row>
      <xdr:rowOff>190500</xdr:rowOff>
    </xdr:from>
    <xdr:to>
      <xdr:col>38</xdr:col>
      <xdr:colOff>0</xdr:colOff>
      <xdr:row>69</xdr:row>
      <xdr:rowOff>28575</xdr:rowOff>
    </xdr:to>
    <xdr:sp>
      <xdr:nvSpPr>
        <xdr:cNvPr id="143" name="Line 724"/>
        <xdr:cNvSpPr>
          <a:spLocks/>
        </xdr:cNvSpPr>
      </xdr:nvSpPr>
      <xdr:spPr>
        <a:xfrm>
          <a:off x="12563475" y="1296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69</xdr:row>
      <xdr:rowOff>190500</xdr:rowOff>
    </xdr:from>
    <xdr:to>
      <xdr:col>38</xdr:col>
      <xdr:colOff>0</xdr:colOff>
      <xdr:row>70</xdr:row>
      <xdr:rowOff>28575</xdr:rowOff>
    </xdr:to>
    <xdr:sp>
      <xdr:nvSpPr>
        <xdr:cNvPr id="14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70</xdr:row>
      <xdr:rowOff>200025</xdr:rowOff>
    </xdr:from>
    <xdr:to>
      <xdr:col>38</xdr:col>
      <xdr:colOff>0</xdr:colOff>
      <xdr:row>71</xdr:row>
      <xdr:rowOff>28575</xdr:rowOff>
    </xdr:to>
    <xdr:sp>
      <xdr:nvSpPr>
        <xdr:cNvPr id="14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71</xdr:row>
      <xdr:rowOff>200025</xdr:rowOff>
    </xdr:from>
    <xdr:to>
      <xdr:col>38</xdr:col>
      <xdr:colOff>0</xdr:colOff>
      <xdr:row>72</xdr:row>
      <xdr:rowOff>28575</xdr:rowOff>
    </xdr:to>
    <xdr:sp>
      <xdr:nvSpPr>
        <xdr:cNvPr id="14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72</xdr:row>
      <xdr:rowOff>200025</xdr:rowOff>
    </xdr:from>
    <xdr:to>
      <xdr:col>38</xdr:col>
      <xdr:colOff>0</xdr:colOff>
      <xdr:row>73</xdr:row>
      <xdr:rowOff>28575</xdr:rowOff>
    </xdr:to>
    <xdr:sp>
      <xdr:nvSpPr>
        <xdr:cNvPr id="14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73</xdr:row>
      <xdr:rowOff>200025</xdr:rowOff>
    </xdr:from>
    <xdr:to>
      <xdr:col>38</xdr:col>
      <xdr:colOff>0</xdr:colOff>
      <xdr:row>74</xdr:row>
      <xdr:rowOff>28575</xdr:rowOff>
    </xdr:to>
    <xdr:sp>
      <xdr:nvSpPr>
        <xdr:cNvPr id="14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74</xdr:row>
      <xdr:rowOff>200025</xdr:rowOff>
    </xdr:from>
    <xdr:to>
      <xdr:col>38</xdr:col>
      <xdr:colOff>0</xdr:colOff>
      <xdr:row>75</xdr:row>
      <xdr:rowOff>28575</xdr:rowOff>
    </xdr:to>
    <xdr:sp>
      <xdr:nvSpPr>
        <xdr:cNvPr id="149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75</xdr:row>
      <xdr:rowOff>200025</xdr:rowOff>
    </xdr:from>
    <xdr:to>
      <xdr:col>38</xdr:col>
      <xdr:colOff>0</xdr:colOff>
      <xdr:row>76</xdr:row>
      <xdr:rowOff>28575</xdr:rowOff>
    </xdr:to>
    <xdr:sp>
      <xdr:nvSpPr>
        <xdr:cNvPr id="150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76</xdr:row>
      <xdr:rowOff>200025</xdr:rowOff>
    </xdr:from>
    <xdr:to>
      <xdr:col>38</xdr:col>
      <xdr:colOff>0</xdr:colOff>
      <xdr:row>77</xdr:row>
      <xdr:rowOff>28575</xdr:rowOff>
    </xdr:to>
    <xdr:sp>
      <xdr:nvSpPr>
        <xdr:cNvPr id="151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77</xdr:row>
      <xdr:rowOff>200025</xdr:rowOff>
    </xdr:from>
    <xdr:to>
      <xdr:col>38</xdr:col>
      <xdr:colOff>0</xdr:colOff>
      <xdr:row>78</xdr:row>
      <xdr:rowOff>28575</xdr:rowOff>
    </xdr:to>
    <xdr:sp>
      <xdr:nvSpPr>
        <xdr:cNvPr id="152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78</xdr:row>
      <xdr:rowOff>200025</xdr:rowOff>
    </xdr:from>
    <xdr:to>
      <xdr:col>38</xdr:col>
      <xdr:colOff>0</xdr:colOff>
      <xdr:row>79</xdr:row>
      <xdr:rowOff>28575</xdr:rowOff>
    </xdr:to>
    <xdr:sp>
      <xdr:nvSpPr>
        <xdr:cNvPr id="153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79</xdr:row>
      <xdr:rowOff>200025</xdr:rowOff>
    </xdr:from>
    <xdr:to>
      <xdr:col>38</xdr:col>
      <xdr:colOff>0</xdr:colOff>
      <xdr:row>80</xdr:row>
      <xdr:rowOff>28575</xdr:rowOff>
    </xdr:to>
    <xdr:sp>
      <xdr:nvSpPr>
        <xdr:cNvPr id="15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80</xdr:row>
      <xdr:rowOff>200025</xdr:rowOff>
    </xdr:from>
    <xdr:to>
      <xdr:col>38</xdr:col>
      <xdr:colOff>0</xdr:colOff>
      <xdr:row>81</xdr:row>
      <xdr:rowOff>28575</xdr:rowOff>
    </xdr:to>
    <xdr:sp>
      <xdr:nvSpPr>
        <xdr:cNvPr id="15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81</xdr:row>
      <xdr:rowOff>200025</xdr:rowOff>
    </xdr:from>
    <xdr:to>
      <xdr:col>38</xdr:col>
      <xdr:colOff>0</xdr:colOff>
      <xdr:row>82</xdr:row>
      <xdr:rowOff>28575</xdr:rowOff>
    </xdr:to>
    <xdr:sp>
      <xdr:nvSpPr>
        <xdr:cNvPr id="15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82</xdr:row>
      <xdr:rowOff>200025</xdr:rowOff>
    </xdr:from>
    <xdr:to>
      <xdr:col>38</xdr:col>
      <xdr:colOff>0</xdr:colOff>
      <xdr:row>83</xdr:row>
      <xdr:rowOff>28575</xdr:rowOff>
    </xdr:to>
    <xdr:sp>
      <xdr:nvSpPr>
        <xdr:cNvPr id="15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83</xdr:row>
      <xdr:rowOff>200025</xdr:rowOff>
    </xdr:from>
    <xdr:to>
      <xdr:col>38</xdr:col>
      <xdr:colOff>0</xdr:colOff>
      <xdr:row>84</xdr:row>
      <xdr:rowOff>28575</xdr:rowOff>
    </xdr:to>
    <xdr:sp>
      <xdr:nvSpPr>
        <xdr:cNvPr id="15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84</xdr:row>
      <xdr:rowOff>200025</xdr:rowOff>
    </xdr:from>
    <xdr:to>
      <xdr:col>38</xdr:col>
      <xdr:colOff>0</xdr:colOff>
      <xdr:row>85</xdr:row>
      <xdr:rowOff>28575</xdr:rowOff>
    </xdr:to>
    <xdr:sp>
      <xdr:nvSpPr>
        <xdr:cNvPr id="159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85</xdr:row>
      <xdr:rowOff>200025</xdr:rowOff>
    </xdr:from>
    <xdr:to>
      <xdr:col>38</xdr:col>
      <xdr:colOff>0</xdr:colOff>
      <xdr:row>86</xdr:row>
      <xdr:rowOff>28575</xdr:rowOff>
    </xdr:to>
    <xdr:sp>
      <xdr:nvSpPr>
        <xdr:cNvPr id="160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86</xdr:row>
      <xdr:rowOff>200025</xdr:rowOff>
    </xdr:from>
    <xdr:to>
      <xdr:col>38</xdr:col>
      <xdr:colOff>0</xdr:colOff>
      <xdr:row>87</xdr:row>
      <xdr:rowOff>28575</xdr:rowOff>
    </xdr:to>
    <xdr:sp>
      <xdr:nvSpPr>
        <xdr:cNvPr id="161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87</xdr:row>
      <xdr:rowOff>200025</xdr:rowOff>
    </xdr:from>
    <xdr:to>
      <xdr:col>38</xdr:col>
      <xdr:colOff>0</xdr:colOff>
      <xdr:row>88</xdr:row>
      <xdr:rowOff>28575</xdr:rowOff>
    </xdr:to>
    <xdr:sp>
      <xdr:nvSpPr>
        <xdr:cNvPr id="162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88</xdr:row>
      <xdr:rowOff>200025</xdr:rowOff>
    </xdr:from>
    <xdr:to>
      <xdr:col>38</xdr:col>
      <xdr:colOff>0</xdr:colOff>
      <xdr:row>89</xdr:row>
      <xdr:rowOff>28575</xdr:rowOff>
    </xdr:to>
    <xdr:sp>
      <xdr:nvSpPr>
        <xdr:cNvPr id="163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89</xdr:row>
      <xdr:rowOff>200025</xdr:rowOff>
    </xdr:from>
    <xdr:to>
      <xdr:col>38</xdr:col>
      <xdr:colOff>0</xdr:colOff>
      <xdr:row>90</xdr:row>
      <xdr:rowOff>28575</xdr:rowOff>
    </xdr:to>
    <xdr:sp>
      <xdr:nvSpPr>
        <xdr:cNvPr id="16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90</xdr:row>
      <xdr:rowOff>200025</xdr:rowOff>
    </xdr:from>
    <xdr:to>
      <xdr:col>38</xdr:col>
      <xdr:colOff>0</xdr:colOff>
      <xdr:row>91</xdr:row>
      <xdr:rowOff>28575</xdr:rowOff>
    </xdr:to>
    <xdr:sp>
      <xdr:nvSpPr>
        <xdr:cNvPr id="16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91</xdr:row>
      <xdr:rowOff>200025</xdr:rowOff>
    </xdr:from>
    <xdr:to>
      <xdr:col>38</xdr:col>
      <xdr:colOff>0</xdr:colOff>
      <xdr:row>92</xdr:row>
      <xdr:rowOff>28575</xdr:rowOff>
    </xdr:to>
    <xdr:sp>
      <xdr:nvSpPr>
        <xdr:cNvPr id="16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92</xdr:row>
      <xdr:rowOff>200025</xdr:rowOff>
    </xdr:from>
    <xdr:to>
      <xdr:col>38</xdr:col>
      <xdr:colOff>0</xdr:colOff>
      <xdr:row>93</xdr:row>
      <xdr:rowOff>28575</xdr:rowOff>
    </xdr:to>
    <xdr:sp>
      <xdr:nvSpPr>
        <xdr:cNvPr id="16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93</xdr:row>
      <xdr:rowOff>200025</xdr:rowOff>
    </xdr:from>
    <xdr:to>
      <xdr:col>38</xdr:col>
      <xdr:colOff>0</xdr:colOff>
      <xdr:row>94</xdr:row>
      <xdr:rowOff>28575</xdr:rowOff>
    </xdr:to>
    <xdr:sp>
      <xdr:nvSpPr>
        <xdr:cNvPr id="16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94</xdr:row>
      <xdr:rowOff>200025</xdr:rowOff>
    </xdr:from>
    <xdr:to>
      <xdr:col>38</xdr:col>
      <xdr:colOff>0</xdr:colOff>
      <xdr:row>95</xdr:row>
      <xdr:rowOff>28575</xdr:rowOff>
    </xdr:to>
    <xdr:sp>
      <xdr:nvSpPr>
        <xdr:cNvPr id="169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95</xdr:row>
      <xdr:rowOff>200025</xdr:rowOff>
    </xdr:from>
    <xdr:to>
      <xdr:col>38</xdr:col>
      <xdr:colOff>0</xdr:colOff>
      <xdr:row>96</xdr:row>
      <xdr:rowOff>28575</xdr:rowOff>
    </xdr:to>
    <xdr:sp>
      <xdr:nvSpPr>
        <xdr:cNvPr id="170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96</xdr:row>
      <xdr:rowOff>200025</xdr:rowOff>
    </xdr:from>
    <xdr:to>
      <xdr:col>38</xdr:col>
      <xdr:colOff>0</xdr:colOff>
      <xdr:row>97</xdr:row>
      <xdr:rowOff>28575</xdr:rowOff>
    </xdr:to>
    <xdr:sp>
      <xdr:nvSpPr>
        <xdr:cNvPr id="171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97</xdr:row>
      <xdr:rowOff>200025</xdr:rowOff>
    </xdr:from>
    <xdr:to>
      <xdr:col>38</xdr:col>
      <xdr:colOff>0</xdr:colOff>
      <xdr:row>98</xdr:row>
      <xdr:rowOff>28575</xdr:rowOff>
    </xdr:to>
    <xdr:sp>
      <xdr:nvSpPr>
        <xdr:cNvPr id="172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98</xdr:row>
      <xdr:rowOff>200025</xdr:rowOff>
    </xdr:from>
    <xdr:to>
      <xdr:col>38</xdr:col>
      <xdr:colOff>0</xdr:colOff>
      <xdr:row>99</xdr:row>
      <xdr:rowOff>28575</xdr:rowOff>
    </xdr:to>
    <xdr:sp>
      <xdr:nvSpPr>
        <xdr:cNvPr id="173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99</xdr:row>
      <xdr:rowOff>200025</xdr:rowOff>
    </xdr:from>
    <xdr:to>
      <xdr:col>38</xdr:col>
      <xdr:colOff>0</xdr:colOff>
      <xdr:row>100</xdr:row>
      <xdr:rowOff>28575</xdr:rowOff>
    </xdr:to>
    <xdr:sp>
      <xdr:nvSpPr>
        <xdr:cNvPr id="17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100</xdr:row>
      <xdr:rowOff>200025</xdr:rowOff>
    </xdr:from>
    <xdr:to>
      <xdr:col>38</xdr:col>
      <xdr:colOff>0</xdr:colOff>
      <xdr:row>101</xdr:row>
      <xdr:rowOff>28575</xdr:rowOff>
    </xdr:to>
    <xdr:sp>
      <xdr:nvSpPr>
        <xdr:cNvPr id="17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101</xdr:row>
      <xdr:rowOff>200025</xdr:rowOff>
    </xdr:from>
    <xdr:to>
      <xdr:col>38</xdr:col>
      <xdr:colOff>0</xdr:colOff>
      <xdr:row>102</xdr:row>
      <xdr:rowOff>28575</xdr:rowOff>
    </xdr:to>
    <xdr:sp>
      <xdr:nvSpPr>
        <xdr:cNvPr id="17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102</xdr:row>
      <xdr:rowOff>200025</xdr:rowOff>
    </xdr:from>
    <xdr:to>
      <xdr:col>38</xdr:col>
      <xdr:colOff>0</xdr:colOff>
      <xdr:row>103</xdr:row>
      <xdr:rowOff>28575</xdr:rowOff>
    </xdr:to>
    <xdr:sp>
      <xdr:nvSpPr>
        <xdr:cNvPr id="17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103</xdr:row>
      <xdr:rowOff>200025</xdr:rowOff>
    </xdr:from>
    <xdr:to>
      <xdr:col>38</xdr:col>
      <xdr:colOff>0</xdr:colOff>
      <xdr:row>104</xdr:row>
      <xdr:rowOff>28575</xdr:rowOff>
    </xdr:to>
    <xdr:sp>
      <xdr:nvSpPr>
        <xdr:cNvPr id="17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104</xdr:row>
      <xdr:rowOff>200025</xdr:rowOff>
    </xdr:from>
    <xdr:to>
      <xdr:col>38</xdr:col>
      <xdr:colOff>0</xdr:colOff>
      <xdr:row>105</xdr:row>
      <xdr:rowOff>28575</xdr:rowOff>
    </xdr:to>
    <xdr:sp>
      <xdr:nvSpPr>
        <xdr:cNvPr id="179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105</xdr:row>
      <xdr:rowOff>200025</xdr:rowOff>
    </xdr:from>
    <xdr:to>
      <xdr:col>38</xdr:col>
      <xdr:colOff>0</xdr:colOff>
      <xdr:row>106</xdr:row>
      <xdr:rowOff>28575</xdr:rowOff>
    </xdr:to>
    <xdr:sp>
      <xdr:nvSpPr>
        <xdr:cNvPr id="180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106</xdr:row>
      <xdr:rowOff>200025</xdr:rowOff>
    </xdr:from>
    <xdr:to>
      <xdr:col>38</xdr:col>
      <xdr:colOff>0</xdr:colOff>
      <xdr:row>107</xdr:row>
      <xdr:rowOff>28575</xdr:rowOff>
    </xdr:to>
    <xdr:sp>
      <xdr:nvSpPr>
        <xdr:cNvPr id="181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107</xdr:row>
      <xdr:rowOff>200025</xdr:rowOff>
    </xdr:from>
    <xdr:to>
      <xdr:col>38</xdr:col>
      <xdr:colOff>0</xdr:colOff>
      <xdr:row>108</xdr:row>
      <xdr:rowOff>28575</xdr:rowOff>
    </xdr:to>
    <xdr:sp>
      <xdr:nvSpPr>
        <xdr:cNvPr id="182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108</xdr:row>
      <xdr:rowOff>200025</xdr:rowOff>
    </xdr:from>
    <xdr:to>
      <xdr:col>38</xdr:col>
      <xdr:colOff>0</xdr:colOff>
      <xdr:row>109</xdr:row>
      <xdr:rowOff>28575</xdr:rowOff>
    </xdr:to>
    <xdr:sp>
      <xdr:nvSpPr>
        <xdr:cNvPr id="183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109</xdr:row>
      <xdr:rowOff>200025</xdr:rowOff>
    </xdr:from>
    <xdr:to>
      <xdr:col>38</xdr:col>
      <xdr:colOff>0</xdr:colOff>
      <xdr:row>110</xdr:row>
      <xdr:rowOff>28575</xdr:rowOff>
    </xdr:to>
    <xdr:sp>
      <xdr:nvSpPr>
        <xdr:cNvPr id="18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110</xdr:row>
      <xdr:rowOff>200025</xdr:rowOff>
    </xdr:from>
    <xdr:to>
      <xdr:col>38</xdr:col>
      <xdr:colOff>0</xdr:colOff>
      <xdr:row>111</xdr:row>
      <xdr:rowOff>28575</xdr:rowOff>
    </xdr:to>
    <xdr:sp>
      <xdr:nvSpPr>
        <xdr:cNvPr id="18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111</xdr:row>
      <xdr:rowOff>200025</xdr:rowOff>
    </xdr:from>
    <xdr:to>
      <xdr:col>38</xdr:col>
      <xdr:colOff>0</xdr:colOff>
      <xdr:row>112</xdr:row>
      <xdr:rowOff>28575</xdr:rowOff>
    </xdr:to>
    <xdr:sp>
      <xdr:nvSpPr>
        <xdr:cNvPr id="18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190500</xdr:rowOff>
    </xdr:from>
    <xdr:to>
      <xdr:col>38</xdr:col>
      <xdr:colOff>0</xdr:colOff>
      <xdr:row>31</xdr:row>
      <xdr:rowOff>28575</xdr:rowOff>
    </xdr:to>
    <xdr:sp>
      <xdr:nvSpPr>
        <xdr:cNvPr id="187" name="Line 724"/>
        <xdr:cNvSpPr>
          <a:spLocks/>
        </xdr:cNvSpPr>
      </xdr:nvSpPr>
      <xdr:spPr>
        <a:xfrm>
          <a:off x="12563475" y="572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190500</xdr:rowOff>
    </xdr:from>
    <xdr:to>
      <xdr:col>38</xdr:col>
      <xdr:colOff>0</xdr:colOff>
      <xdr:row>32</xdr:row>
      <xdr:rowOff>28575</xdr:rowOff>
    </xdr:to>
    <xdr:sp>
      <xdr:nvSpPr>
        <xdr:cNvPr id="188" name="Line 724"/>
        <xdr:cNvSpPr>
          <a:spLocks/>
        </xdr:cNvSpPr>
      </xdr:nvSpPr>
      <xdr:spPr>
        <a:xfrm>
          <a:off x="12563475" y="591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190500</xdr:rowOff>
    </xdr:from>
    <xdr:to>
      <xdr:col>38</xdr:col>
      <xdr:colOff>0</xdr:colOff>
      <xdr:row>33</xdr:row>
      <xdr:rowOff>28575</xdr:rowOff>
    </xdr:to>
    <xdr:sp>
      <xdr:nvSpPr>
        <xdr:cNvPr id="189" name="Line 724"/>
        <xdr:cNvSpPr>
          <a:spLocks/>
        </xdr:cNvSpPr>
      </xdr:nvSpPr>
      <xdr:spPr>
        <a:xfrm>
          <a:off x="12563475" y="610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33</xdr:row>
      <xdr:rowOff>190500</xdr:rowOff>
    </xdr:from>
    <xdr:to>
      <xdr:col>38</xdr:col>
      <xdr:colOff>0</xdr:colOff>
      <xdr:row>34</xdr:row>
      <xdr:rowOff>28575</xdr:rowOff>
    </xdr:to>
    <xdr:sp>
      <xdr:nvSpPr>
        <xdr:cNvPr id="190" name="Line 724"/>
        <xdr:cNvSpPr>
          <a:spLocks/>
        </xdr:cNvSpPr>
      </xdr:nvSpPr>
      <xdr:spPr>
        <a:xfrm>
          <a:off x="12563475" y="629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190500</xdr:rowOff>
    </xdr:from>
    <xdr:to>
      <xdr:col>38</xdr:col>
      <xdr:colOff>0</xdr:colOff>
      <xdr:row>35</xdr:row>
      <xdr:rowOff>28575</xdr:rowOff>
    </xdr:to>
    <xdr:sp>
      <xdr:nvSpPr>
        <xdr:cNvPr id="191" name="Line 724"/>
        <xdr:cNvSpPr>
          <a:spLocks/>
        </xdr:cNvSpPr>
      </xdr:nvSpPr>
      <xdr:spPr>
        <a:xfrm>
          <a:off x="12563475" y="648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190500</xdr:rowOff>
    </xdr:from>
    <xdr:to>
      <xdr:col>38</xdr:col>
      <xdr:colOff>0</xdr:colOff>
      <xdr:row>36</xdr:row>
      <xdr:rowOff>28575</xdr:rowOff>
    </xdr:to>
    <xdr:sp>
      <xdr:nvSpPr>
        <xdr:cNvPr id="192" name="Line 724"/>
        <xdr:cNvSpPr>
          <a:spLocks/>
        </xdr:cNvSpPr>
      </xdr:nvSpPr>
      <xdr:spPr>
        <a:xfrm>
          <a:off x="12563475" y="667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190500</xdr:rowOff>
    </xdr:from>
    <xdr:to>
      <xdr:col>38</xdr:col>
      <xdr:colOff>0</xdr:colOff>
      <xdr:row>37</xdr:row>
      <xdr:rowOff>28575</xdr:rowOff>
    </xdr:to>
    <xdr:sp>
      <xdr:nvSpPr>
        <xdr:cNvPr id="193" name="Line 724"/>
        <xdr:cNvSpPr>
          <a:spLocks/>
        </xdr:cNvSpPr>
      </xdr:nvSpPr>
      <xdr:spPr>
        <a:xfrm>
          <a:off x="12563475" y="686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190500</xdr:rowOff>
    </xdr:from>
    <xdr:to>
      <xdr:col>38</xdr:col>
      <xdr:colOff>0</xdr:colOff>
      <xdr:row>38</xdr:row>
      <xdr:rowOff>28575</xdr:rowOff>
    </xdr:to>
    <xdr:sp>
      <xdr:nvSpPr>
        <xdr:cNvPr id="194" name="Line 724"/>
        <xdr:cNvSpPr>
          <a:spLocks/>
        </xdr:cNvSpPr>
      </xdr:nvSpPr>
      <xdr:spPr>
        <a:xfrm>
          <a:off x="12563475" y="705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190500</xdr:rowOff>
    </xdr:from>
    <xdr:to>
      <xdr:col>38</xdr:col>
      <xdr:colOff>0</xdr:colOff>
      <xdr:row>39</xdr:row>
      <xdr:rowOff>28575</xdr:rowOff>
    </xdr:to>
    <xdr:sp>
      <xdr:nvSpPr>
        <xdr:cNvPr id="195" name="Line 724"/>
        <xdr:cNvSpPr>
          <a:spLocks/>
        </xdr:cNvSpPr>
      </xdr:nvSpPr>
      <xdr:spPr>
        <a:xfrm>
          <a:off x="12563475" y="724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190500</xdr:rowOff>
    </xdr:from>
    <xdr:to>
      <xdr:col>38</xdr:col>
      <xdr:colOff>0</xdr:colOff>
      <xdr:row>40</xdr:row>
      <xdr:rowOff>28575</xdr:rowOff>
    </xdr:to>
    <xdr:sp>
      <xdr:nvSpPr>
        <xdr:cNvPr id="196" name="Line 724"/>
        <xdr:cNvSpPr>
          <a:spLocks/>
        </xdr:cNvSpPr>
      </xdr:nvSpPr>
      <xdr:spPr>
        <a:xfrm>
          <a:off x="12563475" y="743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40</xdr:row>
      <xdr:rowOff>190500</xdr:rowOff>
    </xdr:from>
    <xdr:to>
      <xdr:col>38</xdr:col>
      <xdr:colOff>0</xdr:colOff>
      <xdr:row>41</xdr:row>
      <xdr:rowOff>28575</xdr:rowOff>
    </xdr:to>
    <xdr:sp>
      <xdr:nvSpPr>
        <xdr:cNvPr id="197" name="Line 724"/>
        <xdr:cNvSpPr>
          <a:spLocks/>
        </xdr:cNvSpPr>
      </xdr:nvSpPr>
      <xdr:spPr>
        <a:xfrm>
          <a:off x="12563475" y="762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190500</xdr:rowOff>
    </xdr:from>
    <xdr:to>
      <xdr:col>38</xdr:col>
      <xdr:colOff>0</xdr:colOff>
      <xdr:row>42</xdr:row>
      <xdr:rowOff>28575</xdr:rowOff>
    </xdr:to>
    <xdr:sp>
      <xdr:nvSpPr>
        <xdr:cNvPr id="198" name="Line 724"/>
        <xdr:cNvSpPr>
          <a:spLocks/>
        </xdr:cNvSpPr>
      </xdr:nvSpPr>
      <xdr:spPr>
        <a:xfrm>
          <a:off x="12563475" y="782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42</xdr:row>
      <xdr:rowOff>190500</xdr:rowOff>
    </xdr:from>
    <xdr:to>
      <xdr:col>38</xdr:col>
      <xdr:colOff>0</xdr:colOff>
      <xdr:row>43</xdr:row>
      <xdr:rowOff>28575</xdr:rowOff>
    </xdr:to>
    <xdr:sp>
      <xdr:nvSpPr>
        <xdr:cNvPr id="199" name="Line 724"/>
        <xdr:cNvSpPr>
          <a:spLocks/>
        </xdr:cNvSpPr>
      </xdr:nvSpPr>
      <xdr:spPr>
        <a:xfrm>
          <a:off x="12563475" y="801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43</xdr:row>
      <xdr:rowOff>190500</xdr:rowOff>
    </xdr:from>
    <xdr:to>
      <xdr:col>38</xdr:col>
      <xdr:colOff>0</xdr:colOff>
      <xdr:row>44</xdr:row>
      <xdr:rowOff>28575</xdr:rowOff>
    </xdr:to>
    <xdr:sp>
      <xdr:nvSpPr>
        <xdr:cNvPr id="200" name="Line 724"/>
        <xdr:cNvSpPr>
          <a:spLocks/>
        </xdr:cNvSpPr>
      </xdr:nvSpPr>
      <xdr:spPr>
        <a:xfrm>
          <a:off x="12563475" y="820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44</xdr:row>
      <xdr:rowOff>190500</xdr:rowOff>
    </xdr:from>
    <xdr:to>
      <xdr:col>38</xdr:col>
      <xdr:colOff>0</xdr:colOff>
      <xdr:row>45</xdr:row>
      <xdr:rowOff>28575</xdr:rowOff>
    </xdr:to>
    <xdr:sp>
      <xdr:nvSpPr>
        <xdr:cNvPr id="201" name="Line 724"/>
        <xdr:cNvSpPr>
          <a:spLocks/>
        </xdr:cNvSpPr>
      </xdr:nvSpPr>
      <xdr:spPr>
        <a:xfrm>
          <a:off x="12563475" y="839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45</xdr:row>
      <xdr:rowOff>190500</xdr:rowOff>
    </xdr:from>
    <xdr:to>
      <xdr:col>38</xdr:col>
      <xdr:colOff>0</xdr:colOff>
      <xdr:row>46</xdr:row>
      <xdr:rowOff>28575</xdr:rowOff>
    </xdr:to>
    <xdr:sp>
      <xdr:nvSpPr>
        <xdr:cNvPr id="202" name="Line 724"/>
        <xdr:cNvSpPr>
          <a:spLocks/>
        </xdr:cNvSpPr>
      </xdr:nvSpPr>
      <xdr:spPr>
        <a:xfrm>
          <a:off x="12563475" y="858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190500</xdr:rowOff>
    </xdr:from>
    <xdr:to>
      <xdr:col>38</xdr:col>
      <xdr:colOff>0</xdr:colOff>
      <xdr:row>47</xdr:row>
      <xdr:rowOff>28575</xdr:rowOff>
    </xdr:to>
    <xdr:sp>
      <xdr:nvSpPr>
        <xdr:cNvPr id="203" name="Line 724"/>
        <xdr:cNvSpPr>
          <a:spLocks/>
        </xdr:cNvSpPr>
      </xdr:nvSpPr>
      <xdr:spPr>
        <a:xfrm>
          <a:off x="12563475" y="877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47</xdr:row>
      <xdr:rowOff>190500</xdr:rowOff>
    </xdr:from>
    <xdr:to>
      <xdr:col>38</xdr:col>
      <xdr:colOff>0</xdr:colOff>
      <xdr:row>48</xdr:row>
      <xdr:rowOff>28575</xdr:rowOff>
    </xdr:to>
    <xdr:sp>
      <xdr:nvSpPr>
        <xdr:cNvPr id="204" name="Line 724"/>
        <xdr:cNvSpPr>
          <a:spLocks/>
        </xdr:cNvSpPr>
      </xdr:nvSpPr>
      <xdr:spPr>
        <a:xfrm>
          <a:off x="12563475" y="896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48</xdr:row>
      <xdr:rowOff>190500</xdr:rowOff>
    </xdr:from>
    <xdr:to>
      <xdr:col>38</xdr:col>
      <xdr:colOff>0</xdr:colOff>
      <xdr:row>49</xdr:row>
      <xdr:rowOff>28575</xdr:rowOff>
    </xdr:to>
    <xdr:sp>
      <xdr:nvSpPr>
        <xdr:cNvPr id="205" name="Line 724"/>
        <xdr:cNvSpPr>
          <a:spLocks/>
        </xdr:cNvSpPr>
      </xdr:nvSpPr>
      <xdr:spPr>
        <a:xfrm>
          <a:off x="12563475" y="915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49</xdr:row>
      <xdr:rowOff>190500</xdr:rowOff>
    </xdr:from>
    <xdr:to>
      <xdr:col>38</xdr:col>
      <xdr:colOff>0</xdr:colOff>
      <xdr:row>50</xdr:row>
      <xdr:rowOff>28575</xdr:rowOff>
    </xdr:to>
    <xdr:sp>
      <xdr:nvSpPr>
        <xdr:cNvPr id="206" name="Line 724"/>
        <xdr:cNvSpPr>
          <a:spLocks/>
        </xdr:cNvSpPr>
      </xdr:nvSpPr>
      <xdr:spPr>
        <a:xfrm>
          <a:off x="12563475" y="9344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50</xdr:row>
      <xdr:rowOff>190500</xdr:rowOff>
    </xdr:from>
    <xdr:to>
      <xdr:col>38</xdr:col>
      <xdr:colOff>0</xdr:colOff>
      <xdr:row>51</xdr:row>
      <xdr:rowOff>28575</xdr:rowOff>
    </xdr:to>
    <xdr:sp>
      <xdr:nvSpPr>
        <xdr:cNvPr id="207" name="Line 724"/>
        <xdr:cNvSpPr>
          <a:spLocks/>
        </xdr:cNvSpPr>
      </xdr:nvSpPr>
      <xdr:spPr>
        <a:xfrm>
          <a:off x="12563475" y="953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51</xdr:row>
      <xdr:rowOff>190500</xdr:rowOff>
    </xdr:from>
    <xdr:to>
      <xdr:col>38</xdr:col>
      <xdr:colOff>0</xdr:colOff>
      <xdr:row>52</xdr:row>
      <xdr:rowOff>28575</xdr:rowOff>
    </xdr:to>
    <xdr:sp>
      <xdr:nvSpPr>
        <xdr:cNvPr id="208" name="Line 724"/>
        <xdr:cNvSpPr>
          <a:spLocks/>
        </xdr:cNvSpPr>
      </xdr:nvSpPr>
      <xdr:spPr>
        <a:xfrm>
          <a:off x="12563475" y="972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52</xdr:row>
      <xdr:rowOff>190500</xdr:rowOff>
    </xdr:from>
    <xdr:to>
      <xdr:col>38</xdr:col>
      <xdr:colOff>0</xdr:colOff>
      <xdr:row>53</xdr:row>
      <xdr:rowOff>28575</xdr:rowOff>
    </xdr:to>
    <xdr:sp>
      <xdr:nvSpPr>
        <xdr:cNvPr id="209" name="Line 724"/>
        <xdr:cNvSpPr>
          <a:spLocks/>
        </xdr:cNvSpPr>
      </xdr:nvSpPr>
      <xdr:spPr>
        <a:xfrm>
          <a:off x="12563475" y="991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53</xdr:row>
      <xdr:rowOff>190500</xdr:rowOff>
    </xdr:from>
    <xdr:to>
      <xdr:col>38</xdr:col>
      <xdr:colOff>0</xdr:colOff>
      <xdr:row>54</xdr:row>
      <xdr:rowOff>28575</xdr:rowOff>
    </xdr:to>
    <xdr:sp>
      <xdr:nvSpPr>
        <xdr:cNvPr id="210" name="Line 724"/>
        <xdr:cNvSpPr>
          <a:spLocks/>
        </xdr:cNvSpPr>
      </xdr:nvSpPr>
      <xdr:spPr>
        <a:xfrm>
          <a:off x="12563475" y="1010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54</xdr:row>
      <xdr:rowOff>190500</xdr:rowOff>
    </xdr:from>
    <xdr:to>
      <xdr:col>38</xdr:col>
      <xdr:colOff>0</xdr:colOff>
      <xdr:row>55</xdr:row>
      <xdr:rowOff>28575</xdr:rowOff>
    </xdr:to>
    <xdr:sp>
      <xdr:nvSpPr>
        <xdr:cNvPr id="211" name="Line 724"/>
        <xdr:cNvSpPr>
          <a:spLocks/>
        </xdr:cNvSpPr>
      </xdr:nvSpPr>
      <xdr:spPr>
        <a:xfrm>
          <a:off x="12563475" y="1029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190500</xdr:rowOff>
    </xdr:from>
    <xdr:to>
      <xdr:col>38</xdr:col>
      <xdr:colOff>0</xdr:colOff>
      <xdr:row>56</xdr:row>
      <xdr:rowOff>28575</xdr:rowOff>
    </xdr:to>
    <xdr:sp>
      <xdr:nvSpPr>
        <xdr:cNvPr id="212" name="Line 724"/>
        <xdr:cNvSpPr>
          <a:spLocks/>
        </xdr:cNvSpPr>
      </xdr:nvSpPr>
      <xdr:spPr>
        <a:xfrm>
          <a:off x="12563475" y="1048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56</xdr:row>
      <xdr:rowOff>190500</xdr:rowOff>
    </xdr:from>
    <xdr:to>
      <xdr:col>38</xdr:col>
      <xdr:colOff>0</xdr:colOff>
      <xdr:row>57</xdr:row>
      <xdr:rowOff>28575</xdr:rowOff>
    </xdr:to>
    <xdr:sp>
      <xdr:nvSpPr>
        <xdr:cNvPr id="213" name="Line 724"/>
        <xdr:cNvSpPr>
          <a:spLocks/>
        </xdr:cNvSpPr>
      </xdr:nvSpPr>
      <xdr:spPr>
        <a:xfrm>
          <a:off x="12563475" y="1067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57</xdr:row>
      <xdr:rowOff>190500</xdr:rowOff>
    </xdr:from>
    <xdr:to>
      <xdr:col>38</xdr:col>
      <xdr:colOff>0</xdr:colOff>
      <xdr:row>58</xdr:row>
      <xdr:rowOff>28575</xdr:rowOff>
    </xdr:to>
    <xdr:sp>
      <xdr:nvSpPr>
        <xdr:cNvPr id="214" name="Line 724"/>
        <xdr:cNvSpPr>
          <a:spLocks/>
        </xdr:cNvSpPr>
      </xdr:nvSpPr>
      <xdr:spPr>
        <a:xfrm>
          <a:off x="12563475" y="1086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58</xdr:row>
      <xdr:rowOff>190500</xdr:rowOff>
    </xdr:from>
    <xdr:to>
      <xdr:col>38</xdr:col>
      <xdr:colOff>0</xdr:colOff>
      <xdr:row>59</xdr:row>
      <xdr:rowOff>28575</xdr:rowOff>
    </xdr:to>
    <xdr:sp>
      <xdr:nvSpPr>
        <xdr:cNvPr id="215" name="Line 724"/>
        <xdr:cNvSpPr>
          <a:spLocks/>
        </xdr:cNvSpPr>
      </xdr:nvSpPr>
      <xdr:spPr>
        <a:xfrm>
          <a:off x="12563475" y="1105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190500</xdr:rowOff>
    </xdr:from>
    <xdr:to>
      <xdr:col>38</xdr:col>
      <xdr:colOff>0</xdr:colOff>
      <xdr:row>60</xdr:row>
      <xdr:rowOff>28575</xdr:rowOff>
    </xdr:to>
    <xdr:sp>
      <xdr:nvSpPr>
        <xdr:cNvPr id="216" name="Line 724"/>
        <xdr:cNvSpPr>
          <a:spLocks/>
        </xdr:cNvSpPr>
      </xdr:nvSpPr>
      <xdr:spPr>
        <a:xfrm>
          <a:off x="12563475" y="1124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60</xdr:row>
      <xdr:rowOff>190500</xdr:rowOff>
    </xdr:from>
    <xdr:to>
      <xdr:col>38</xdr:col>
      <xdr:colOff>0</xdr:colOff>
      <xdr:row>61</xdr:row>
      <xdr:rowOff>28575</xdr:rowOff>
    </xdr:to>
    <xdr:sp>
      <xdr:nvSpPr>
        <xdr:cNvPr id="217" name="Line 724"/>
        <xdr:cNvSpPr>
          <a:spLocks/>
        </xdr:cNvSpPr>
      </xdr:nvSpPr>
      <xdr:spPr>
        <a:xfrm>
          <a:off x="12563475" y="1143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61</xdr:row>
      <xdr:rowOff>190500</xdr:rowOff>
    </xdr:from>
    <xdr:to>
      <xdr:col>38</xdr:col>
      <xdr:colOff>0</xdr:colOff>
      <xdr:row>62</xdr:row>
      <xdr:rowOff>28575</xdr:rowOff>
    </xdr:to>
    <xdr:sp>
      <xdr:nvSpPr>
        <xdr:cNvPr id="218" name="Line 724"/>
        <xdr:cNvSpPr>
          <a:spLocks/>
        </xdr:cNvSpPr>
      </xdr:nvSpPr>
      <xdr:spPr>
        <a:xfrm>
          <a:off x="12563475" y="1163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62</xdr:row>
      <xdr:rowOff>190500</xdr:rowOff>
    </xdr:from>
    <xdr:to>
      <xdr:col>38</xdr:col>
      <xdr:colOff>0</xdr:colOff>
      <xdr:row>63</xdr:row>
      <xdr:rowOff>28575</xdr:rowOff>
    </xdr:to>
    <xdr:sp>
      <xdr:nvSpPr>
        <xdr:cNvPr id="219" name="Line 724"/>
        <xdr:cNvSpPr>
          <a:spLocks/>
        </xdr:cNvSpPr>
      </xdr:nvSpPr>
      <xdr:spPr>
        <a:xfrm>
          <a:off x="12563475" y="1182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63</xdr:row>
      <xdr:rowOff>190500</xdr:rowOff>
    </xdr:from>
    <xdr:to>
      <xdr:col>38</xdr:col>
      <xdr:colOff>0</xdr:colOff>
      <xdr:row>64</xdr:row>
      <xdr:rowOff>28575</xdr:rowOff>
    </xdr:to>
    <xdr:sp>
      <xdr:nvSpPr>
        <xdr:cNvPr id="220" name="Line 724"/>
        <xdr:cNvSpPr>
          <a:spLocks/>
        </xdr:cNvSpPr>
      </xdr:nvSpPr>
      <xdr:spPr>
        <a:xfrm>
          <a:off x="12563475" y="1201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190500</xdr:rowOff>
    </xdr:from>
    <xdr:to>
      <xdr:col>38</xdr:col>
      <xdr:colOff>0</xdr:colOff>
      <xdr:row>65</xdr:row>
      <xdr:rowOff>28575</xdr:rowOff>
    </xdr:to>
    <xdr:sp>
      <xdr:nvSpPr>
        <xdr:cNvPr id="221" name="Line 724"/>
        <xdr:cNvSpPr>
          <a:spLocks/>
        </xdr:cNvSpPr>
      </xdr:nvSpPr>
      <xdr:spPr>
        <a:xfrm>
          <a:off x="12563475" y="1220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65</xdr:row>
      <xdr:rowOff>190500</xdr:rowOff>
    </xdr:from>
    <xdr:to>
      <xdr:col>38</xdr:col>
      <xdr:colOff>0</xdr:colOff>
      <xdr:row>66</xdr:row>
      <xdr:rowOff>28575</xdr:rowOff>
    </xdr:to>
    <xdr:sp>
      <xdr:nvSpPr>
        <xdr:cNvPr id="222" name="Line 724"/>
        <xdr:cNvSpPr>
          <a:spLocks/>
        </xdr:cNvSpPr>
      </xdr:nvSpPr>
      <xdr:spPr>
        <a:xfrm>
          <a:off x="12563475" y="1239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66</xdr:row>
      <xdr:rowOff>190500</xdr:rowOff>
    </xdr:from>
    <xdr:to>
      <xdr:col>38</xdr:col>
      <xdr:colOff>0</xdr:colOff>
      <xdr:row>67</xdr:row>
      <xdr:rowOff>28575</xdr:rowOff>
    </xdr:to>
    <xdr:sp>
      <xdr:nvSpPr>
        <xdr:cNvPr id="223" name="Line 724"/>
        <xdr:cNvSpPr>
          <a:spLocks/>
        </xdr:cNvSpPr>
      </xdr:nvSpPr>
      <xdr:spPr>
        <a:xfrm>
          <a:off x="12563475" y="1258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67</xdr:row>
      <xdr:rowOff>190500</xdr:rowOff>
    </xdr:from>
    <xdr:to>
      <xdr:col>38</xdr:col>
      <xdr:colOff>0</xdr:colOff>
      <xdr:row>68</xdr:row>
      <xdr:rowOff>28575</xdr:rowOff>
    </xdr:to>
    <xdr:sp>
      <xdr:nvSpPr>
        <xdr:cNvPr id="224" name="Line 724"/>
        <xdr:cNvSpPr>
          <a:spLocks/>
        </xdr:cNvSpPr>
      </xdr:nvSpPr>
      <xdr:spPr>
        <a:xfrm>
          <a:off x="12563475" y="1277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68</xdr:row>
      <xdr:rowOff>190500</xdr:rowOff>
    </xdr:from>
    <xdr:to>
      <xdr:col>38</xdr:col>
      <xdr:colOff>0</xdr:colOff>
      <xdr:row>69</xdr:row>
      <xdr:rowOff>28575</xdr:rowOff>
    </xdr:to>
    <xdr:sp>
      <xdr:nvSpPr>
        <xdr:cNvPr id="225" name="Line 724"/>
        <xdr:cNvSpPr>
          <a:spLocks/>
        </xdr:cNvSpPr>
      </xdr:nvSpPr>
      <xdr:spPr>
        <a:xfrm>
          <a:off x="12563475" y="1296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69</xdr:row>
      <xdr:rowOff>190500</xdr:rowOff>
    </xdr:from>
    <xdr:to>
      <xdr:col>38</xdr:col>
      <xdr:colOff>0</xdr:colOff>
      <xdr:row>70</xdr:row>
      <xdr:rowOff>28575</xdr:rowOff>
    </xdr:to>
    <xdr:sp>
      <xdr:nvSpPr>
        <xdr:cNvPr id="22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70</xdr:row>
      <xdr:rowOff>200025</xdr:rowOff>
    </xdr:from>
    <xdr:to>
      <xdr:col>38</xdr:col>
      <xdr:colOff>0</xdr:colOff>
      <xdr:row>71</xdr:row>
      <xdr:rowOff>28575</xdr:rowOff>
    </xdr:to>
    <xdr:sp>
      <xdr:nvSpPr>
        <xdr:cNvPr id="22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71</xdr:row>
      <xdr:rowOff>200025</xdr:rowOff>
    </xdr:from>
    <xdr:to>
      <xdr:col>38</xdr:col>
      <xdr:colOff>0</xdr:colOff>
      <xdr:row>72</xdr:row>
      <xdr:rowOff>28575</xdr:rowOff>
    </xdr:to>
    <xdr:sp>
      <xdr:nvSpPr>
        <xdr:cNvPr id="22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72</xdr:row>
      <xdr:rowOff>200025</xdr:rowOff>
    </xdr:from>
    <xdr:to>
      <xdr:col>38</xdr:col>
      <xdr:colOff>0</xdr:colOff>
      <xdr:row>73</xdr:row>
      <xdr:rowOff>28575</xdr:rowOff>
    </xdr:to>
    <xdr:sp>
      <xdr:nvSpPr>
        <xdr:cNvPr id="229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73</xdr:row>
      <xdr:rowOff>200025</xdr:rowOff>
    </xdr:from>
    <xdr:to>
      <xdr:col>38</xdr:col>
      <xdr:colOff>0</xdr:colOff>
      <xdr:row>74</xdr:row>
      <xdr:rowOff>28575</xdr:rowOff>
    </xdr:to>
    <xdr:sp>
      <xdr:nvSpPr>
        <xdr:cNvPr id="230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74</xdr:row>
      <xdr:rowOff>200025</xdr:rowOff>
    </xdr:from>
    <xdr:to>
      <xdr:col>38</xdr:col>
      <xdr:colOff>0</xdr:colOff>
      <xdr:row>75</xdr:row>
      <xdr:rowOff>28575</xdr:rowOff>
    </xdr:to>
    <xdr:sp>
      <xdr:nvSpPr>
        <xdr:cNvPr id="231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75</xdr:row>
      <xdr:rowOff>200025</xdr:rowOff>
    </xdr:from>
    <xdr:to>
      <xdr:col>38</xdr:col>
      <xdr:colOff>0</xdr:colOff>
      <xdr:row>76</xdr:row>
      <xdr:rowOff>28575</xdr:rowOff>
    </xdr:to>
    <xdr:sp>
      <xdr:nvSpPr>
        <xdr:cNvPr id="232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76</xdr:row>
      <xdr:rowOff>200025</xdr:rowOff>
    </xdr:from>
    <xdr:to>
      <xdr:col>38</xdr:col>
      <xdr:colOff>0</xdr:colOff>
      <xdr:row>77</xdr:row>
      <xdr:rowOff>28575</xdr:rowOff>
    </xdr:to>
    <xdr:sp>
      <xdr:nvSpPr>
        <xdr:cNvPr id="233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77</xdr:row>
      <xdr:rowOff>200025</xdr:rowOff>
    </xdr:from>
    <xdr:to>
      <xdr:col>38</xdr:col>
      <xdr:colOff>0</xdr:colOff>
      <xdr:row>78</xdr:row>
      <xdr:rowOff>28575</xdr:rowOff>
    </xdr:to>
    <xdr:sp>
      <xdr:nvSpPr>
        <xdr:cNvPr id="23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78</xdr:row>
      <xdr:rowOff>200025</xdr:rowOff>
    </xdr:from>
    <xdr:to>
      <xdr:col>38</xdr:col>
      <xdr:colOff>0</xdr:colOff>
      <xdr:row>79</xdr:row>
      <xdr:rowOff>28575</xdr:rowOff>
    </xdr:to>
    <xdr:sp>
      <xdr:nvSpPr>
        <xdr:cNvPr id="23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79</xdr:row>
      <xdr:rowOff>200025</xdr:rowOff>
    </xdr:from>
    <xdr:to>
      <xdr:col>38</xdr:col>
      <xdr:colOff>0</xdr:colOff>
      <xdr:row>80</xdr:row>
      <xdr:rowOff>28575</xdr:rowOff>
    </xdr:to>
    <xdr:sp>
      <xdr:nvSpPr>
        <xdr:cNvPr id="23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80</xdr:row>
      <xdr:rowOff>200025</xdr:rowOff>
    </xdr:from>
    <xdr:to>
      <xdr:col>38</xdr:col>
      <xdr:colOff>0</xdr:colOff>
      <xdr:row>81</xdr:row>
      <xdr:rowOff>28575</xdr:rowOff>
    </xdr:to>
    <xdr:sp>
      <xdr:nvSpPr>
        <xdr:cNvPr id="23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81</xdr:row>
      <xdr:rowOff>200025</xdr:rowOff>
    </xdr:from>
    <xdr:to>
      <xdr:col>38</xdr:col>
      <xdr:colOff>0</xdr:colOff>
      <xdr:row>82</xdr:row>
      <xdr:rowOff>28575</xdr:rowOff>
    </xdr:to>
    <xdr:sp>
      <xdr:nvSpPr>
        <xdr:cNvPr id="23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82</xdr:row>
      <xdr:rowOff>200025</xdr:rowOff>
    </xdr:from>
    <xdr:to>
      <xdr:col>38</xdr:col>
      <xdr:colOff>0</xdr:colOff>
      <xdr:row>83</xdr:row>
      <xdr:rowOff>28575</xdr:rowOff>
    </xdr:to>
    <xdr:sp>
      <xdr:nvSpPr>
        <xdr:cNvPr id="239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83</xdr:row>
      <xdr:rowOff>200025</xdr:rowOff>
    </xdr:from>
    <xdr:to>
      <xdr:col>38</xdr:col>
      <xdr:colOff>0</xdr:colOff>
      <xdr:row>84</xdr:row>
      <xdr:rowOff>28575</xdr:rowOff>
    </xdr:to>
    <xdr:sp>
      <xdr:nvSpPr>
        <xdr:cNvPr id="240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84</xdr:row>
      <xdr:rowOff>200025</xdr:rowOff>
    </xdr:from>
    <xdr:to>
      <xdr:col>38</xdr:col>
      <xdr:colOff>0</xdr:colOff>
      <xdr:row>85</xdr:row>
      <xdr:rowOff>28575</xdr:rowOff>
    </xdr:to>
    <xdr:sp>
      <xdr:nvSpPr>
        <xdr:cNvPr id="241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85</xdr:row>
      <xdr:rowOff>200025</xdr:rowOff>
    </xdr:from>
    <xdr:to>
      <xdr:col>38</xdr:col>
      <xdr:colOff>0</xdr:colOff>
      <xdr:row>86</xdr:row>
      <xdr:rowOff>28575</xdr:rowOff>
    </xdr:to>
    <xdr:sp>
      <xdr:nvSpPr>
        <xdr:cNvPr id="242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86</xdr:row>
      <xdr:rowOff>200025</xdr:rowOff>
    </xdr:from>
    <xdr:to>
      <xdr:col>38</xdr:col>
      <xdr:colOff>0</xdr:colOff>
      <xdr:row>87</xdr:row>
      <xdr:rowOff>28575</xdr:rowOff>
    </xdr:to>
    <xdr:sp>
      <xdr:nvSpPr>
        <xdr:cNvPr id="243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87</xdr:row>
      <xdr:rowOff>200025</xdr:rowOff>
    </xdr:from>
    <xdr:to>
      <xdr:col>38</xdr:col>
      <xdr:colOff>0</xdr:colOff>
      <xdr:row>88</xdr:row>
      <xdr:rowOff>28575</xdr:rowOff>
    </xdr:to>
    <xdr:sp>
      <xdr:nvSpPr>
        <xdr:cNvPr id="24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88</xdr:row>
      <xdr:rowOff>200025</xdr:rowOff>
    </xdr:from>
    <xdr:to>
      <xdr:col>38</xdr:col>
      <xdr:colOff>0</xdr:colOff>
      <xdr:row>89</xdr:row>
      <xdr:rowOff>28575</xdr:rowOff>
    </xdr:to>
    <xdr:sp>
      <xdr:nvSpPr>
        <xdr:cNvPr id="24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89</xdr:row>
      <xdr:rowOff>200025</xdr:rowOff>
    </xdr:from>
    <xdr:to>
      <xdr:col>38</xdr:col>
      <xdr:colOff>0</xdr:colOff>
      <xdr:row>90</xdr:row>
      <xdr:rowOff>28575</xdr:rowOff>
    </xdr:to>
    <xdr:sp>
      <xdr:nvSpPr>
        <xdr:cNvPr id="24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90</xdr:row>
      <xdr:rowOff>200025</xdr:rowOff>
    </xdr:from>
    <xdr:to>
      <xdr:col>38</xdr:col>
      <xdr:colOff>0</xdr:colOff>
      <xdr:row>91</xdr:row>
      <xdr:rowOff>28575</xdr:rowOff>
    </xdr:to>
    <xdr:sp>
      <xdr:nvSpPr>
        <xdr:cNvPr id="24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91</xdr:row>
      <xdr:rowOff>200025</xdr:rowOff>
    </xdr:from>
    <xdr:to>
      <xdr:col>38</xdr:col>
      <xdr:colOff>0</xdr:colOff>
      <xdr:row>92</xdr:row>
      <xdr:rowOff>28575</xdr:rowOff>
    </xdr:to>
    <xdr:sp>
      <xdr:nvSpPr>
        <xdr:cNvPr id="24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92</xdr:row>
      <xdr:rowOff>200025</xdr:rowOff>
    </xdr:from>
    <xdr:to>
      <xdr:col>38</xdr:col>
      <xdr:colOff>0</xdr:colOff>
      <xdr:row>93</xdr:row>
      <xdr:rowOff>28575</xdr:rowOff>
    </xdr:to>
    <xdr:sp>
      <xdr:nvSpPr>
        <xdr:cNvPr id="249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93</xdr:row>
      <xdr:rowOff>200025</xdr:rowOff>
    </xdr:from>
    <xdr:to>
      <xdr:col>38</xdr:col>
      <xdr:colOff>0</xdr:colOff>
      <xdr:row>94</xdr:row>
      <xdr:rowOff>28575</xdr:rowOff>
    </xdr:to>
    <xdr:sp>
      <xdr:nvSpPr>
        <xdr:cNvPr id="250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94</xdr:row>
      <xdr:rowOff>200025</xdr:rowOff>
    </xdr:from>
    <xdr:to>
      <xdr:col>38</xdr:col>
      <xdr:colOff>0</xdr:colOff>
      <xdr:row>95</xdr:row>
      <xdr:rowOff>28575</xdr:rowOff>
    </xdr:to>
    <xdr:sp>
      <xdr:nvSpPr>
        <xdr:cNvPr id="251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95</xdr:row>
      <xdr:rowOff>200025</xdr:rowOff>
    </xdr:from>
    <xdr:to>
      <xdr:col>38</xdr:col>
      <xdr:colOff>0</xdr:colOff>
      <xdr:row>96</xdr:row>
      <xdr:rowOff>28575</xdr:rowOff>
    </xdr:to>
    <xdr:sp>
      <xdr:nvSpPr>
        <xdr:cNvPr id="252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96</xdr:row>
      <xdr:rowOff>200025</xdr:rowOff>
    </xdr:from>
    <xdr:to>
      <xdr:col>38</xdr:col>
      <xdr:colOff>0</xdr:colOff>
      <xdr:row>97</xdr:row>
      <xdr:rowOff>28575</xdr:rowOff>
    </xdr:to>
    <xdr:sp>
      <xdr:nvSpPr>
        <xdr:cNvPr id="253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97</xdr:row>
      <xdr:rowOff>200025</xdr:rowOff>
    </xdr:from>
    <xdr:to>
      <xdr:col>38</xdr:col>
      <xdr:colOff>0</xdr:colOff>
      <xdr:row>98</xdr:row>
      <xdr:rowOff>28575</xdr:rowOff>
    </xdr:to>
    <xdr:sp>
      <xdr:nvSpPr>
        <xdr:cNvPr id="25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98</xdr:row>
      <xdr:rowOff>200025</xdr:rowOff>
    </xdr:from>
    <xdr:to>
      <xdr:col>38</xdr:col>
      <xdr:colOff>0</xdr:colOff>
      <xdr:row>99</xdr:row>
      <xdr:rowOff>28575</xdr:rowOff>
    </xdr:to>
    <xdr:sp>
      <xdr:nvSpPr>
        <xdr:cNvPr id="25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99</xdr:row>
      <xdr:rowOff>200025</xdr:rowOff>
    </xdr:from>
    <xdr:to>
      <xdr:col>38</xdr:col>
      <xdr:colOff>0</xdr:colOff>
      <xdr:row>100</xdr:row>
      <xdr:rowOff>28575</xdr:rowOff>
    </xdr:to>
    <xdr:sp>
      <xdr:nvSpPr>
        <xdr:cNvPr id="25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100</xdr:row>
      <xdr:rowOff>200025</xdr:rowOff>
    </xdr:from>
    <xdr:to>
      <xdr:col>38</xdr:col>
      <xdr:colOff>0</xdr:colOff>
      <xdr:row>101</xdr:row>
      <xdr:rowOff>28575</xdr:rowOff>
    </xdr:to>
    <xdr:sp>
      <xdr:nvSpPr>
        <xdr:cNvPr id="25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101</xdr:row>
      <xdr:rowOff>200025</xdr:rowOff>
    </xdr:from>
    <xdr:to>
      <xdr:col>38</xdr:col>
      <xdr:colOff>0</xdr:colOff>
      <xdr:row>102</xdr:row>
      <xdr:rowOff>28575</xdr:rowOff>
    </xdr:to>
    <xdr:sp>
      <xdr:nvSpPr>
        <xdr:cNvPr id="25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102</xdr:row>
      <xdr:rowOff>200025</xdr:rowOff>
    </xdr:from>
    <xdr:to>
      <xdr:col>38</xdr:col>
      <xdr:colOff>0</xdr:colOff>
      <xdr:row>103</xdr:row>
      <xdr:rowOff>28575</xdr:rowOff>
    </xdr:to>
    <xdr:sp>
      <xdr:nvSpPr>
        <xdr:cNvPr id="259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103</xdr:row>
      <xdr:rowOff>200025</xdr:rowOff>
    </xdr:from>
    <xdr:to>
      <xdr:col>38</xdr:col>
      <xdr:colOff>0</xdr:colOff>
      <xdr:row>104</xdr:row>
      <xdr:rowOff>28575</xdr:rowOff>
    </xdr:to>
    <xdr:sp>
      <xdr:nvSpPr>
        <xdr:cNvPr id="260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104</xdr:row>
      <xdr:rowOff>200025</xdr:rowOff>
    </xdr:from>
    <xdr:to>
      <xdr:col>38</xdr:col>
      <xdr:colOff>0</xdr:colOff>
      <xdr:row>105</xdr:row>
      <xdr:rowOff>28575</xdr:rowOff>
    </xdr:to>
    <xdr:sp>
      <xdr:nvSpPr>
        <xdr:cNvPr id="261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105</xdr:row>
      <xdr:rowOff>200025</xdr:rowOff>
    </xdr:from>
    <xdr:to>
      <xdr:col>38</xdr:col>
      <xdr:colOff>0</xdr:colOff>
      <xdr:row>106</xdr:row>
      <xdr:rowOff>28575</xdr:rowOff>
    </xdr:to>
    <xdr:sp>
      <xdr:nvSpPr>
        <xdr:cNvPr id="262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106</xdr:row>
      <xdr:rowOff>200025</xdr:rowOff>
    </xdr:from>
    <xdr:to>
      <xdr:col>38</xdr:col>
      <xdr:colOff>0</xdr:colOff>
      <xdr:row>107</xdr:row>
      <xdr:rowOff>28575</xdr:rowOff>
    </xdr:to>
    <xdr:sp>
      <xdr:nvSpPr>
        <xdr:cNvPr id="263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107</xdr:row>
      <xdr:rowOff>200025</xdr:rowOff>
    </xdr:from>
    <xdr:to>
      <xdr:col>38</xdr:col>
      <xdr:colOff>0</xdr:colOff>
      <xdr:row>108</xdr:row>
      <xdr:rowOff>28575</xdr:rowOff>
    </xdr:to>
    <xdr:sp>
      <xdr:nvSpPr>
        <xdr:cNvPr id="26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108</xdr:row>
      <xdr:rowOff>200025</xdr:rowOff>
    </xdr:from>
    <xdr:to>
      <xdr:col>38</xdr:col>
      <xdr:colOff>0</xdr:colOff>
      <xdr:row>109</xdr:row>
      <xdr:rowOff>28575</xdr:rowOff>
    </xdr:to>
    <xdr:sp>
      <xdr:nvSpPr>
        <xdr:cNvPr id="26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109</xdr:row>
      <xdr:rowOff>200025</xdr:rowOff>
    </xdr:from>
    <xdr:to>
      <xdr:col>38</xdr:col>
      <xdr:colOff>0</xdr:colOff>
      <xdr:row>110</xdr:row>
      <xdr:rowOff>28575</xdr:rowOff>
    </xdr:to>
    <xdr:sp>
      <xdr:nvSpPr>
        <xdr:cNvPr id="26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110</xdr:row>
      <xdr:rowOff>200025</xdr:rowOff>
    </xdr:from>
    <xdr:to>
      <xdr:col>38</xdr:col>
      <xdr:colOff>0</xdr:colOff>
      <xdr:row>111</xdr:row>
      <xdr:rowOff>28575</xdr:rowOff>
    </xdr:to>
    <xdr:sp>
      <xdr:nvSpPr>
        <xdr:cNvPr id="26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111</xdr:row>
      <xdr:rowOff>200025</xdr:rowOff>
    </xdr:from>
    <xdr:to>
      <xdr:col>38</xdr:col>
      <xdr:colOff>0</xdr:colOff>
      <xdr:row>112</xdr:row>
      <xdr:rowOff>28575</xdr:rowOff>
    </xdr:to>
    <xdr:sp>
      <xdr:nvSpPr>
        <xdr:cNvPr id="26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25</xdr:col>
      <xdr:colOff>123825</xdr:colOff>
      <xdr:row>28</xdr:row>
      <xdr:rowOff>219075</xdr:rowOff>
    </xdr:from>
    <xdr:to>
      <xdr:col>25</xdr:col>
      <xdr:colOff>285750</xdr:colOff>
      <xdr:row>29</xdr:row>
      <xdr:rowOff>85725</xdr:rowOff>
    </xdr:to>
    <xdr:pic>
      <xdr:nvPicPr>
        <xdr:cNvPr id="269" name="圖片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1047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104775</xdr:colOff>
      <xdr:row>28</xdr:row>
      <xdr:rowOff>209550</xdr:rowOff>
    </xdr:from>
    <xdr:to>
      <xdr:col>38</xdr:col>
      <xdr:colOff>266700</xdr:colOff>
      <xdr:row>29</xdr:row>
      <xdr:rowOff>85725</xdr:rowOff>
    </xdr:to>
    <xdr:pic>
      <xdr:nvPicPr>
        <xdr:cNvPr id="270" name="圖片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68250" y="50292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114300</xdr:colOff>
      <xdr:row>28</xdr:row>
      <xdr:rowOff>219075</xdr:rowOff>
    </xdr:from>
    <xdr:to>
      <xdr:col>37</xdr:col>
      <xdr:colOff>276225</xdr:colOff>
      <xdr:row>29</xdr:row>
      <xdr:rowOff>85725</xdr:rowOff>
    </xdr:to>
    <xdr:pic>
      <xdr:nvPicPr>
        <xdr:cNvPr id="271" name="圖片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287250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114300</xdr:colOff>
      <xdr:row>28</xdr:row>
      <xdr:rowOff>219075</xdr:rowOff>
    </xdr:from>
    <xdr:to>
      <xdr:col>36</xdr:col>
      <xdr:colOff>276225</xdr:colOff>
      <xdr:row>29</xdr:row>
      <xdr:rowOff>85725</xdr:rowOff>
    </xdr:to>
    <xdr:pic>
      <xdr:nvPicPr>
        <xdr:cNvPr id="272" name="圖片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9672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123825</xdr:colOff>
      <xdr:row>28</xdr:row>
      <xdr:rowOff>219075</xdr:rowOff>
    </xdr:from>
    <xdr:to>
      <xdr:col>35</xdr:col>
      <xdr:colOff>285750</xdr:colOff>
      <xdr:row>29</xdr:row>
      <xdr:rowOff>85725</xdr:rowOff>
    </xdr:to>
    <xdr:pic>
      <xdr:nvPicPr>
        <xdr:cNvPr id="273" name="圖片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51572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114300</xdr:colOff>
      <xdr:row>28</xdr:row>
      <xdr:rowOff>219075</xdr:rowOff>
    </xdr:from>
    <xdr:to>
      <xdr:col>34</xdr:col>
      <xdr:colOff>276225</xdr:colOff>
      <xdr:row>29</xdr:row>
      <xdr:rowOff>85725</xdr:rowOff>
    </xdr:to>
    <xdr:pic>
      <xdr:nvPicPr>
        <xdr:cNvPr id="274" name="圖片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1567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123825</xdr:colOff>
      <xdr:row>28</xdr:row>
      <xdr:rowOff>219075</xdr:rowOff>
    </xdr:from>
    <xdr:to>
      <xdr:col>33</xdr:col>
      <xdr:colOff>285750</xdr:colOff>
      <xdr:row>29</xdr:row>
      <xdr:rowOff>85725</xdr:rowOff>
    </xdr:to>
    <xdr:pic>
      <xdr:nvPicPr>
        <xdr:cNvPr id="275" name="圖片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73467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133350</xdr:colOff>
      <xdr:row>28</xdr:row>
      <xdr:rowOff>219075</xdr:rowOff>
    </xdr:from>
    <xdr:to>
      <xdr:col>32</xdr:col>
      <xdr:colOff>295275</xdr:colOff>
      <xdr:row>29</xdr:row>
      <xdr:rowOff>85725</xdr:rowOff>
    </xdr:to>
    <xdr:pic>
      <xdr:nvPicPr>
        <xdr:cNvPr id="276" name="圖片 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35367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114300</xdr:colOff>
      <xdr:row>28</xdr:row>
      <xdr:rowOff>219075</xdr:rowOff>
    </xdr:from>
    <xdr:to>
      <xdr:col>31</xdr:col>
      <xdr:colOff>276225</xdr:colOff>
      <xdr:row>29</xdr:row>
      <xdr:rowOff>85725</xdr:rowOff>
    </xdr:to>
    <xdr:pic>
      <xdr:nvPicPr>
        <xdr:cNvPr id="277" name="圖片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944100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114300</xdr:colOff>
      <xdr:row>28</xdr:row>
      <xdr:rowOff>219075</xdr:rowOff>
    </xdr:from>
    <xdr:to>
      <xdr:col>30</xdr:col>
      <xdr:colOff>276225</xdr:colOff>
      <xdr:row>29</xdr:row>
      <xdr:rowOff>85725</xdr:rowOff>
    </xdr:to>
    <xdr:pic>
      <xdr:nvPicPr>
        <xdr:cNvPr id="278" name="圖片 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5357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28</xdr:row>
      <xdr:rowOff>219075</xdr:rowOff>
    </xdr:from>
    <xdr:to>
      <xdr:col>29</xdr:col>
      <xdr:colOff>285750</xdr:colOff>
      <xdr:row>29</xdr:row>
      <xdr:rowOff>85725</xdr:rowOff>
    </xdr:to>
    <xdr:pic>
      <xdr:nvPicPr>
        <xdr:cNvPr id="279" name="圖片 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17257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114300</xdr:colOff>
      <xdr:row>28</xdr:row>
      <xdr:rowOff>219075</xdr:rowOff>
    </xdr:from>
    <xdr:to>
      <xdr:col>28</xdr:col>
      <xdr:colOff>276225</xdr:colOff>
      <xdr:row>29</xdr:row>
      <xdr:rowOff>85725</xdr:rowOff>
    </xdr:to>
    <xdr:pic>
      <xdr:nvPicPr>
        <xdr:cNvPr id="280" name="圖片 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77252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28</xdr:row>
      <xdr:rowOff>219075</xdr:rowOff>
    </xdr:from>
    <xdr:to>
      <xdr:col>27</xdr:col>
      <xdr:colOff>285750</xdr:colOff>
      <xdr:row>29</xdr:row>
      <xdr:rowOff>85725</xdr:rowOff>
    </xdr:to>
    <xdr:pic>
      <xdr:nvPicPr>
        <xdr:cNvPr id="281" name="圖片 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9152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123825</xdr:colOff>
      <xdr:row>28</xdr:row>
      <xdr:rowOff>219075</xdr:rowOff>
    </xdr:from>
    <xdr:to>
      <xdr:col>26</xdr:col>
      <xdr:colOff>285750</xdr:colOff>
      <xdr:row>29</xdr:row>
      <xdr:rowOff>85725</xdr:rowOff>
    </xdr:to>
    <xdr:pic>
      <xdr:nvPicPr>
        <xdr:cNvPr id="282" name="圖片 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01000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2247900</xdr:colOff>
      <xdr:row>30</xdr:row>
      <xdr:rowOff>57150</xdr:rowOff>
    </xdr:from>
    <xdr:to>
      <xdr:col>24</xdr:col>
      <xdr:colOff>2657475</xdr:colOff>
      <xdr:row>50</xdr:row>
      <xdr:rowOff>28575</xdr:rowOff>
    </xdr:to>
    <xdr:pic>
      <xdr:nvPicPr>
        <xdr:cNvPr id="283" name="圖片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019925" y="5591175"/>
          <a:ext cx="4095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123825</xdr:colOff>
      <xdr:row>0</xdr:row>
      <xdr:rowOff>180975</xdr:rowOff>
    </xdr:from>
    <xdr:to>
      <xdr:col>38</xdr:col>
      <xdr:colOff>352425</xdr:colOff>
      <xdr:row>8</xdr:row>
      <xdr:rowOff>28575</xdr:rowOff>
    </xdr:to>
    <xdr:sp>
      <xdr:nvSpPr>
        <xdr:cNvPr id="284" name="圓角矩形 285"/>
        <xdr:cNvSpPr>
          <a:spLocks/>
        </xdr:cNvSpPr>
      </xdr:nvSpPr>
      <xdr:spPr>
        <a:xfrm>
          <a:off x="10734675" y="180975"/>
          <a:ext cx="2181225" cy="1181100"/>
        </a:xfrm>
        <a:prstGeom prst="roundRect">
          <a:avLst/>
        </a:prstGeom>
        <a:gradFill rotWithShape="1">
          <a:gsLst>
            <a:gs pos="0">
              <a:srgbClr val="00FFFF"/>
            </a:gs>
            <a:gs pos="100000">
              <a:srgbClr val="FF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本版修正重點：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新增年滿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</a:rPr>
            <a:t>歲、年資滿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</a:rPr>
            <a:t>年者之提前退休分析</a:t>
          </a:r>
        </a:p>
      </xdr:txBody>
    </xdr:sp>
    <xdr:clientData/>
  </xdr:twoCellAnchor>
  <xdr:twoCellAnchor editAs="oneCell">
    <xdr:from>
      <xdr:col>25</xdr:col>
      <xdr:colOff>200025</xdr:colOff>
      <xdr:row>0</xdr:row>
      <xdr:rowOff>85725</xdr:rowOff>
    </xdr:from>
    <xdr:to>
      <xdr:col>28</xdr:col>
      <xdr:colOff>123825</xdr:colOff>
      <xdr:row>3</xdr:row>
      <xdr:rowOff>0</xdr:rowOff>
    </xdr:to>
    <xdr:pic>
      <xdr:nvPicPr>
        <xdr:cNvPr id="285" name="圖片 1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86675" y="8572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180975</xdr:colOff>
      <xdr:row>0</xdr:row>
      <xdr:rowOff>85725</xdr:rowOff>
    </xdr:from>
    <xdr:to>
      <xdr:col>30</xdr:col>
      <xdr:colOff>266700</xdr:colOff>
      <xdr:row>3</xdr:row>
      <xdr:rowOff>0</xdr:rowOff>
    </xdr:to>
    <xdr:pic>
      <xdr:nvPicPr>
        <xdr:cNvPr id="286" name="圖片 3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839200" y="85725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30</xdr:row>
      <xdr:rowOff>190500</xdr:rowOff>
    </xdr:from>
    <xdr:to>
      <xdr:col>31</xdr:col>
      <xdr:colOff>0</xdr:colOff>
      <xdr:row>31</xdr:row>
      <xdr:rowOff>28575</xdr:rowOff>
    </xdr:to>
    <xdr:sp>
      <xdr:nvSpPr>
        <xdr:cNvPr id="287" name="Line 724"/>
        <xdr:cNvSpPr>
          <a:spLocks/>
        </xdr:cNvSpPr>
      </xdr:nvSpPr>
      <xdr:spPr>
        <a:xfrm>
          <a:off x="9829800" y="572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190500</xdr:rowOff>
    </xdr:from>
    <xdr:to>
      <xdr:col>38</xdr:col>
      <xdr:colOff>0</xdr:colOff>
      <xdr:row>31</xdr:row>
      <xdr:rowOff>28575</xdr:rowOff>
    </xdr:to>
    <xdr:sp>
      <xdr:nvSpPr>
        <xdr:cNvPr id="288" name="Line 724"/>
        <xdr:cNvSpPr>
          <a:spLocks/>
        </xdr:cNvSpPr>
      </xdr:nvSpPr>
      <xdr:spPr>
        <a:xfrm>
          <a:off x="12563475" y="572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190500</xdr:rowOff>
    </xdr:from>
    <xdr:to>
      <xdr:col>31</xdr:col>
      <xdr:colOff>0</xdr:colOff>
      <xdr:row>32</xdr:row>
      <xdr:rowOff>28575</xdr:rowOff>
    </xdr:to>
    <xdr:sp>
      <xdr:nvSpPr>
        <xdr:cNvPr id="289" name="Line 724"/>
        <xdr:cNvSpPr>
          <a:spLocks/>
        </xdr:cNvSpPr>
      </xdr:nvSpPr>
      <xdr:spPr>
        <a:xfrm>
          <a:off x="9829800" y="591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190500</xdr:rowOff>
    </xdr:from>
    <xdr:to>
      <xdr:col>38</xdr:col>
      <xdr:colOff>0</xdr:colOff>
      <xdr:row>32</xdr:row>
      <xdr:rowOff>28575</xdr:rowOff>
    </xdr:to>
    <xdr:sp>
      <xdr:nvSpPr>
        <xdr:cNvPr id="290" name="Line 724"/>
        <xdr:cNvSpPr>
          <a:spLocks/>
        </xdr:cNvSpPr>
      </xdr:nvSpPr>
      <xdr:spPr>
        <a:xfrm>
          <a:off x="12563475" y="591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190500</xdr:rowOff>
    </xdr:from>
    <xdr:to>
      <xdr:col>31</xdr:col>
      <xdr:colOff>0</xdr:colOff>
      <xdr:row>33</xdr:row>
      <xdr:rowOff>28575</xdr:rowOff>
    </xdr:to>
    <xdr:sp>
      <xdr:nvSpPr>
        <xdr:cNvPr id="291" name="Line 724"/>
        <xdr:cNvSpPr>
          <a:spLocks/>
        </xdr:cNvSpPr>
      </xdr:nvSpPr>
      <xdr:spPr>
        <a:xfrm>
          <a:off x="9829800" y="610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190500</xdr:rowOff>
    </xdr:from>
    <xdr:to>
      <xdr:col>38</xdr:col>
      <xdr:colOff>0</xdr:colOff>
      <xdr:row>33</xdr:row>
      <xdr:rowOff>28575</xdr:rowOff>
    </xdr:to>
    <xdr:sp>
      <xdr:nvSpPr>
        <xdr:cNvPr id="292" name="Line 724"/>
        <xdr:cNvSpPr>
          <a:spLocks/>
        </xdr:cNvSpPr>
      </xdr:nvSpPr>
      <xdr:spPr>
        <a:xfrm>
          <a:off x="12563475" y="610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190500</xdr:rowOff>
    </xdr:from>
    <xdr:to>
      <xdr:col>31</xdr:col>
      <xdr:colOff>0</xdr:colOff>
      <xdr:row>34</xdr:row>
      <xdr:rowOff>28575</xdr:rowOff>
    </xdr:to>
    <xdr:sp>
      <xdr:nvSpPr>
        <xdr:cNvPr id="293" name="Line 724"/>
        <xdr:cNvSpPr>
          <a:spLocks/>
        </xdr:cNvSpPr>
      </xdr:nvSpPr>
      <xdr:spPr>
        <a:xfrm>
          <a:off x="9829800" y="629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33</xdr:row>
      <xdr:rowOff>190500</xdr:rowOff>
    </xdr:from>
    <xdr:to>
      <xdr:col>38</xdr:col>
      <xdr:colOff>0</xdr:colOff>
      <xdr:row>34</xdr:row>
      <xdr:rowOff>28575</xdr:rowOff>
    </xdr:to>
    <xdr:sp>
      <xdr:nvSpPr>
        <xdr:cNvPr id="294" name="Line 724"/>
        <xdr:cNvSpPr>
          <a:spLocks/>
        </xdr:cNvSpPr>
      </xdr:nvSpPr>
      <xdr:spPr>
        <a:xfrm>
          <a:off x="12563475" y="629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190500</xdr:rowOff>
    </xdr:from>
    <xdr:to>
      <xdr:col>31</xdr:col>
      <xdr:colOff>0</xdr:colOff>
      <xdr:row>35</xdr:row>
      <xdr:rowOff>28575</xdr:rowOff>
    </xdr:to>
    <xdr:sp>
      <xdr:nvSpPr>
        <xdr:cNvPr id="295" name="Line 724"/>
        <xdr:cNvSpPr>
          <a:spLocks/>
        </xdr:cNvSpPr>
      </xdr:nvSpPr>
      <xdr:spPr>
        <a:xfrm>
          <a:off x="9829800" y="648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190500</xdr:rowOff>
    </xdr:from>
    <xdr:to>
      <xdr:col>38</xdr:col>
      <xdr:colOff>0</xdr:colOff>
      <xdr:row>35</xdr:row>
      <xdr:rowOff>28575</xdr:rowOff>
    </xdr:to>
    <xdr:sp>
      <xdr:nvSpPr>
        <xdr:cNvPr id="296" name="Line 724"/>
        <xdr:cNvSpPr>
          <a:spLocks/>
        </xdr:cNvSpPr>
      </xdr:nvSpPr>
      <xdr:spPr>
        <a:xfrm>
          <a:off x="12563475" y="648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190500</xdr:rowOff>
    </xdr:from>
    <xdr:to>
      <xdr:col>31</xdr:col>
      <xdr:colOff>0</xdr:colOff>
      <xdr:row>36</xdr:row>
      <xdr:rowOff>28575</xdr:rowOff>
    </xdr:to>
    <xdr:sp>
      <xdr:nvSpPr>
        <xdr:cNvPr id="297" name="Line 724"/>
        <xdr:cNvSpPr>
          <a:spLocks/>
        </xdr:cNvSpPr>
      </xdr:nvSpPr>
      <xdr:spPr>
        <a:xfrm>
          <a:off x="9829800" y="667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190500</xdr:rowOff>
    </xdr:from>
    <xdr:to>
      <xdr:col>38</xdr:col>
      <xdr:colOff>0</xdr:colOff>
      <xdr:row>36</xdr:row>
      <xdr:rowOff>28575</xdr:rowOff>
    </xdr:to>
    <xdr:sp>
      <xdr:nvSpPr>
        <xdr:cNvPr id="298" name="Line 724"/>
        <xdr:cNvSpPr>
          <a:spLocks/>
        </xdr:cNvSpPr>
      </xdr:nvSpPr>
      <xdr:spPr>
        <a:xfrm>
          <a:off x="12563475" y="667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190500</xdr:rowOff>
    </xdr:from>
    <xdr:to>
      <xdr:col>31</xdr:col>
      <xdr:colOff>0</xdr:colOff>
      <xdr:row>37</xdr:row>
      <xdr:rowOff>28575</xdr:rowOff>
    </xdr:to>
    <xdr:sp>
      <xdr:nvSpPr>
        <xdr:cNvPr id="299" name="Line 724"/>
        <xdr:cNvSpPr>
          <a:spLocks/>
        </xdr:cNvSpPr>
      </xdr:nvSpPr>
      <xdr:spPr>
        <a:xfrm>
          <a:off x="9829800" y="686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190500</xdr:rowOff>
    </xdr:from>
    <xdr:to>
      <xdr:col>38</xdr:col>
      <xdr:colOff>0</xdr:colOff>
      <xdr:row>37</xdr:row>
      <xdr:rowOff>28575</xdr:rowOff>
    </xdr:to>
    <xdr:sp>
      <xdr:nvSpPr>
        <xdr:cNvPr id="300" name="Line 724"/>
        <xdr:cNvSpPr>
          <a:spLocks/>
        </xdr:cNvSpPr>
      </xdr:nvSpPr>
      <xdr:spPr>
        <a:xfrm>
          <a:off x="12563475" y="686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190500</xdr:rowOff>
    </xdr:from>
    <xdr:to>
      <xdr:col>31</xdr:col>
      <xdr:colOff>0</xdr:colOff>
      <xdr:row>38</xdr:row>
      <xdr:rowOff>28575</xdr:rowOff>
    </xdr:to>
    <xdr:sp>
      <xdr:nvSpPr>
        <xdr:cNvPr id="301" name="Line 724"/>
        <xdr:cNvSpPr>
          <a:spLocks/>
        </xdr:cNvSpPr>
      </xdr:nvSpPr>
      <xdr:spPr>
        <a:xfrm>
          <a:off x="9829800" y="705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190500</xdr:rowOff>
    </xdr:from>
    <xdr:to>
      <xdr:col>38</xdr:col>
      <xdr:colOff>0</xdr:colOff>
      <xdr:row>38</xdr:row>
      <xdr:rowOff>28575</xdr:rowOff>
    </xdr:to>
    <xdr:sp>
      <xdr:nvSpPr>
        <xdr:cNvPr id="302" name="Line 724"/>
        <xdr:cNvSpPr>
          <a:spLocks/>
        </xdr:cNvSpPr>
      </xdr:nvSpPr>
      <xdr:spPr>
        <a:xfrm>
          <a:off x="12563475" y="705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190500</xdr:rowOff>
    </xdr:from>
    <xdr:to>
      <xdr:col>31</xdr:col>
      <xdr:colOff>0</xdr:colOff>
      <xdr:row>39</xdr:row>
      <xdr:rowOff>28575</xdr:rowOff>
    </xdr:to>
    <xdr:sp>
      <xdr:nvSpPr>
        <xdr:cNvPr id="303" name="Line 724"/>
        <xdr:cNvSpPr>
          <a:spLocks/>
        </xdr:cNvSpPr>
      </xdr:nvSpPr>
      <xdr:spPr>
        <a:xfrm>
          <a:off x="9829800" y="724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190500</xdr:rowOff>
    </xdr:from>
    <xdr:to>
      <xdr:col>38</xdr:col>
      <xdr:colOff>0</xdr:colOff>
      <xdr:row>39</xdr:row>
      <xdr:rowOff>28575</xdr:rowOff>
    </xdr:to>
    <xdr:sp>
      <xdr:nvSpPr>
        <xdr:cNvPr id="304" name="Line 724"/>
        <xdr:cNvSpPr>
          <a:spLocks/>
        </xdr:cNvSpPr>
      </xdr:nvSpPr>
      <xdr:spPr>
        <a:xfrm>
          <a:off x="12563475" y="724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190500</xdr:rowOff>
    </xdr:from>
    <xdr:to>
      <xdr:col>31</xdr:col>
      <xdr:colOff>0</xdr:colOff>
      <xdr:row>40</xdr:row>
      <xdr:rowOff>28575</xdr:rowOff>
    </xdr:to>
    <xdr:sp>
      <xdr:nvSpPr>
        <xdr:cNvPr id="305" name="Line 724"/>
        <xdr:cNvSpPr>
          <a:spLocks/>
        </xdr:cNvSpPr>
      </xdr:nvSpPr>
      <xdr:spPr>
        <a:xfrm>
          <a:off x="9829800" y="743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190500</xdr:rowOff>
    </xdr:from>
    <xdr:to>
      <xdr:col>38</xdr:col>
      <xdr:colOff>0</xdr:colOff>
      <xdr:row>40</xdr:row>
      <xdr:rowOff>28575</xdr:rowOff>
    </xdr:to>
    <xdr:sp>
      <xdr:nvSpPr>
        <xdr:cNvPr id="306" name="Line 724"/>
        <xdr:cNvSpPr>
          <a:spLocks/>
        </xdr:cNvSpPr>
      </xdr:nvSpPr>
      <xdr:spPr>
        <a:xfrm>
          <a:off x="12563475" y="743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190500</xdr:rowOff>
    </xdr:from>
    <xdr:to>
      <xdr:col>31</xdr:col>
      <xdr:colOff>0</xdr:colOff>
      <xdr:row>41</xdr:row>
      <xdr:rowOff>28575</xdr:rowOff>
    </xdr:to>
    <xdr:sp>
      <xdr:nvSpPr>
        <xdr:cNvPr id="307" name="Line 724"/>
        <xdr:cNvSpPr>
          <a:spLocks/>
        </xdr:cNvSpPr>
      </xdr:nvSpPr>
      <xdr:spPr>
        <a:xfrm>
          <a:off x="9829800" y="762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40</xdr:row>
      <xdr:rowOff>190500</xdr:rowOff>
    </xdr:from>
    <xdr:to>
      <xdr:col>38</xdr:col>
      <xdr:colOff>0</xdr:colOff>
      <xdr:row>41</xdr:row>
      <xdr:rowOff>28575</xdr:rowOff>
    </xdr:to>
    <xdr:sp>
      <xdr:nvSpPr>
        <xdr:cNvPr id="308" name="Line 724"/>
        <xdr:cNvSpPr>
          <a:spLocks/>
        </xdr:cNvSpPr>
      </xdr:nvSpPr>
      <xdr:spPr>
        <a:xfrm>
          <a:off x="12563475" y="762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190500</xdr:rowOff>
    </xdr:from>
    <xdr:to>
      <xdr:col>31</xdr:col>
      <xdr:colOff>0</xdr:colOff>
      <xdr:row>42</xdr:row>
      <xdr:rowOff>28575</xdr:rowOff>
    </xdr:to>
    <xdr:sp>
      <xdr:nvSpPr>
        <xdr:cNvPr id="309" name="Line 724"/>
        <xdr:cNvSpPr>
          <a:spLocks/>
        </xdr:cNvSpPr>
      </xdr:nvSpPr>
      <xdr:spPr>
        <a:xfrm>
          <a:off x="9829800" y="782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190500</xdr:rowOff>
    </xdr:from>
    <xdr:to>
      <xdr:col>38</xdr:col>
      <xdr:colOff>0</xdr:colOff>
      <xdr:row>42</xdr:row>
      <xdr:rowOff>28575</xdr:rowOff>
    </xdr:to>
    <xdr:sp>
      <xdr:nvSpPr>
        <xdr:cNvPr id="310" name="Line 724"/>
        <xdr:cNvSpPr>
          <a:spLocks/>
        </xdr:cNvSpPr>
      </xdr:nvSpPr>
      <xdr:spPr>
        <a:xfrm>
          <a:off x="12563475" y="782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190500</xdr:rowOff>
    </xdr:from>
    <xdr:to>
      <xdr:col>31</xdr:col>
      <xdr:colOff>0</xdr:colOff>
      <xdr:row>43</xdr:row>
      <xdr:rowOff>28575</xdr:rowOff>
    </xdr:to>
    <xdr:sp>
      <xdr:nvSpPr>
        <xdr:cNvPr id="311" name="Line 724"/>
        <xdr:cNvSpPr>
          <a:spLocks/>
        </xdr:cNvSpPr>
      </xdr:nvSpPr>
      <xdr:spPr>
        <a:xfrm>
          <a:off x="9829800" y="801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42</xdr:row>
      <xdr:rowOff>190500</xdr:rowOff>
    </xdr:from>
    <xdr:to>
      <xdr:col>38</xdr:col>
      <xdr:colOff>0</xdr:colOff>
      <xdr:row>43</xdr:row>
      <xdr:rowOff>28575</xdr:rowOff>
    </xdr:to>
    <xdr:sp>
      <xdr:nvSpPr>
        <xdr:cNvPr id="312" name="Line 724"/>
        <xdr:cNvSpPr>
          <a:spLocks/>
        </xdr:cNvSpPr>
      </xdr:nvSpPr>
      <xdr:spPr>
        <a:xfrm>
          <a:off x="12563475" y="801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43</xdr:row>
      <xdr:rowOff>190500</xdr:rowOff>
    </xdr:from>
    <xdr:to>
      <xdr:col>31</xdr:col>
      <xdr:colOff>0</xdr:colOff>
      <xdr:row>44</xdr:row>
      <xdr:rowOff>28575</xdr:rowOff>
    </xdr:to>
    <xdr:sp>
      <xdr:nvSpPr>
        <xdr:cNvPr id="313" name="Line 724"/>
        <xdr:cNvSpPr>
          <a:spLocks/>
        </xdr:cNvSpPr>
      </xdr:nvSpPr>
      <xdr:spPr>
        <a:xfrm>
          <a:off x="9829800" y="820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43</xdr:row>
      <xdr:rowOff>190500</xdr:rowOff>
    </xdr:from>
    <xdr:to>
      <xdr:col>38</xdr:col>
      <xdr:colOff>0</xdr:colOff>
      <xdr:row>44</xdr:row>
      <xdr:rowOff>28575</xdr:rowOff>
    </xdr:to>
    <xdr:sp>
      <xdr:nvSpPr>
        <xdr:cNvPr id="314" name="Line 724"/>
        <xdr:cNvSpPr>
          <a:spLocks/>
        </xdr:cNvSpPr>
      </xdr:nvSpPr>
      <xdr:spPr>
        <a:xfrm>
          <a:off x="12563475" y="820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190500</xdr:rowOff>
    </xdr:from>
    <xdr:to>
      <xdr:col>31</xdr:col>
      <xdr:colOff>0</xdr:colOff>
      <xdr:row>45</xdr:row>
      <xdr:rowOff>28575</xdr:rowOff>
    </xdr:to>
    <xdr:sp>
      <xdr:nvSpPr>
        <xdr:cNvPr id="315" name="Line 724"/>
        <xdr:cNvSpPr>
          <a:spLocks/>
        </xdr:cNvSpPr>
      </xdr:nvSpPr>
      <xdr:spPr>
        <a:xfrm>
          <a:off x="9829800" y="839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44</xdr:row>
      <xdr:rowOff>190500</xdr:rowOff>
    </xdr:from>
    <xdr:to>
      <xdr:col>38</xdr:col>
      <xdr:colOff>0</xdr:colOff>
      <xdr:row>45</xdr:row>
      <xdr:rowOff>28575</xdr:rowOff>
    </xdr:to>
    <xdr:sp>
      <xdr:nvSpPr>
        <xdr:cNvPr id="316" name="Line 724"/>
        <xdr:cNvSpPr>
          <a:spLocks/>
        </xdr:cNvSpPr>
      </xdr:nvSpPr>
      <xdr:spPr>
        <a:xfrm>
          <a:off x="12563475" y="839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190500</xdr:rowOff>
    </xdr:from>
    <xdr:to>
      <xdr:col>31</xdr:col>
      <xdr:colOff>0</xdr:colOff>
      <xdr:row>46</xdr:row>
      <xdr:rowOff>28575</xdr:rowOff>
    </xdr:to>
    <xdr:sp>
      <xdr:nvSpPr>
        <xdr:cNvPr id="317" name="Line 724"/>
        <xdr:cNvSpPr>
          <a:spLocks/>
        </xdr:cNvSpPr>
      </xdr:nvSpPr>
      <xdr:spPr>
        <a:xfrm>
          <a:off x="9829800" y="858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45</xdr:row>
      <xdr:rowOff>190500</xdr:rowOff>
    </xdr:from>
    <xdr:to>
      <xdr:col>38</xdr:col>
      <xdr:colOff>0</xdr:colOff>
      <xdr:row>46</xdr:row>
      <xdr:rowOff>28575</xdr:rowOff>
    </xdr:to>
    <xdr:sp>
      <xdr:nvSpPr>
        <xdr:cNvPr id="318" name="Line 724"/>
        <xdr:cNvSpPr>
          <a:spLocks/>
        </xdr:cNvSpPr>
      </xdr:nvSpPr>
      <xdr:spPr>
        <a:xfrm>
          <a:off x="12563475" y="858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190500</xdr:rowOff>
    </xdr:from>
    <xdr:to>
      <xdr:col>31</xdr:col>
      <xdr:colOff>0</xdr:colOff>
      <xdr:row>47</xdr:row>
      <xdr:rowOff>28575</xdr:rowOff>
    </xdr:to>
    <xdr:sp>
      <xdr:nvSpPr>
        <xdr:cNvPr id="319" name="Line 724"/>
        <xdr:cNvSpPr>
          <a:spLocks/>
        </xdr:cNvSpPr>
      </xdr:nvSpPr>
      <xdr:spPr>
        <a:xfrm>
          <a:off x="9829800" y="877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190500</xdr:rowOff>
    </xdr:from>
    <xdr:to>
      <xdr:col>38</xdr:col>
      <xdr:colOff>0</xdr:colOff>
      <xdr:row>47</xdr:row>
      <xdr:rowOff>28575</xdr:rowOff>
    </xdr:to>
    <xdr:sp>
      <xdr:nvSpPr>
        <xdr:cNvPr id="320" name="Line 724"/>
        <xdr:cNvSpPr>
          <a:spLocks/>
        </xdr:cNvSpPr>
      </xdr:nvSpPr>
      <xdr:spPr>
        <a:xfrm>
          <a:off x="12563475" y="877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47</xdr:row>
      <xdr:rowOff>190500</xdr:rowOff>
    </xdr:from>
    <xdr:to>
      <xdr:col>31</xdr:col>
      <xdr:colOff>0</xdr:colOff>
      <xdr:row>48</xdr:row>
      <xdr:rowOff>28575</xdr:rowOff>
    </xdr:to>
    <xdr:sp>
      <xdr:nvSpPr>
        <xdr:cNvPr id="321" name="Line 724"/>
        <xdr:cNvSpPr>
          <a:spLocks/>
        </xdr:cNvSpPr>
      </xdr:nvSpPr>
      <xdr:spPr>
        <a:xfrm>
          <a:off x="9829800" y="896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47</xdr:row>
      <xdr:rowOff>190500</xdr:rowOff>
    </xdr:from>
    <xdr:to>
      <xdr:col>38</xdr:col>
      <xdr:colOff>0</xdr:colOff>
      <xdr:row>48</xdr:row>
      <xdr:rowOff>28575</xdr:rowOff>
    </xdr:to>
    <xdr:sp>
      <xdr:nvSpPr>
        <xdr:cNvPr id="322" name="Line 724"/>
        <xdr:cNvSpPr>
          <a:spLocks/>
        </xdr:cNvSpPr>
      </xdr:nvSpPr>
      <xdr:spPr>
        <a:xfrm>
          <a:off x="12563475" y="896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48</xdr:row>
      <xdr:rowOff>190500</xdr:rowOff>
    </xdr:from>
    <xdr:to>
      <xdr:col>31</xdr:col>
      <xdr:colOff>0</xdr:colOff>
      <xdr:row>49</xdr:row>
      <xdr:rowOff>28575</xdr:rowOff>
    </xdr:to>
    <xdr:sp>
      <xdr:nvSpPr>
        <xdr:cNvPr id="323" name="Line 724"/>
        <xdr:cNvSpPr>
          <a:spLocks/>
        </xdr:cNvSpPr>
      </xdr:nvSpPr>
      <xdr:spPr>
        <a:xfrm>
          <a:off x="9829800" y="915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48</xdr:row>
      <xdr:rowOff>190500</xdr:rowOff>
    </xdr:from>
    <xdr:to>
      <xdr:col>38</xdr:col>
      <xdr:colOff>0</xdr:colOff>
      <xdr:row>49</xdr:row>
      <xdr:rowOff>28575</xdr:rowOff>
    </xdr:to>
    <xdr:sp>
      <xdr:nvSpPr>
        <xdr:cNvPr id="324" name="Line 724"/>
        <xdr:cNvSpPr>
          <a:spLocks/>
        </xdr:cNvSpPr>
      </xdr:nvSpPr>
      <xdr:spPr>
        <a:xfrm>
          <a:off x="12563475" y="915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190500</xdr:rowOff>
    </xdr:from>
    <xdr:to>
      <xdr:col>31</xdr:col>
      <xdr:colOff>0</xdr:colOff>
      <xdr:row>50</xdr:row>
      <xdr:rowOff>28575</xdr:rowOff>
    </xdr:to>
    <xdr:sp>
      <xdr:nvSpPr>
        <xdr:cNvPr id="325" name="Line 724"/>
        <xdr:cNvSpPr>
          <a:spLocks/>
        </xdr:cNvSpPr>
      </xdr:nvSpPr>
      <xdr:spPr>
        <a:xfrm>
          <a:off x="9829800" y="9344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49</xdr:row>
      <xdr:rowOff>190500</xdr:rowOff>
    </xdr:from>
    <xdr:to>
      <xdr:col>38</xdr:col>
      <xdr:colOff>0</xdr:colOff>
      <xdr:row>50</xdr:row>
      <xdr:rowOff>28575</xdr:rowOff>
    </xdr:to>
    <xdr:sp>
      <xdr:nvSpPr>
        <xdr:cNvPr id="326" name="Line 724"/>
        <xdr:cNvSpPr>
          <a:spLocks/>
        </xdr:cNvSpPr>
      </xdr:nvSpPr>
      <xdr:spPr>
        <a:xfrm>
          <a:off x="12563475" y="9344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50</xdr:row>
      <xdr:rowOff>190500</xdr:rowOff>
    </xdr:from>
    <xdr:to>
      <xdr:col>31</xdr:col>
      <xdr:colOff>0</xdr:colOff>
      <xdr:row>51</xdr:row>
      <xdr:rowOff>28575</xdr:rowOff>
    </xdr:to>
    <xdr:sp>
      <xdr:nvSpPr>
        <xdr:cNvPr id="327" name="Line 724"/>
        <xdr:cNvSpPr>
          <a:spLocks/>
        </xdr:cNvSpPr>
      </xdr:nvSpPr>
      <xdr:spPr>
        <a:xfrm>
          <a:off x="9829800" y="953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50</xdr:row>
      <xdr:rowOff>190500</xdr:rowOff>
    </xdr:from>
    <xdr:to>
      <xdr:col>38</xdr:col>
      <xdr:colOff>0</xdr:colOff>
      <xdr:row>51</xdr:row>
      <xdr:rowOff>28575</xdr:rowOff>
    </xdr:to>
    <xdr:sp>
      <xdr:nvSpPr>
        <xdr:cNvPr id="328" name="Line 724"/>
        <xdr:cNvSpPr>
          <a:spLocks/>
        </xdr:cNvSpPr>
      </xdr:nvSpPr>
      <xdr:spPr>
        <a:xfrm>
          <a:off x="12563475" y="953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51</xdr:row>
      <xdr:rowOff>190500</xdr:rowOff>
    </xdr:from>
    <xdr:to>
      <xdr:col>31</xdr:col>
      <xdr:colOff>0</xdr:colOff>
      <xdr:row>52</xdr:row>
      <xdr:rowOff>28575</xdr:rowOff>
    </xdr:to>
    <xdr:sp>
      <xdr:nvSpPr>
        <xdr:cNvPr id="329" name="Line 724"/>
        <xdr:cNvSpPr>
          <a:spLocks/>
        </xdr:cNvSpPr>
      </xdr:nvSpPr>
      <xdr:spPr>
        <a:xfrm>
          <a:off x="9829800" y="972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51</xdr:row>
      <xdr:rowOff>190500</xdr:rowOff>
    </xdr:from>
    <xdr:to>
      <xdr:col>38</xdr:col>
      <xdr:colOff>0</xdr:colOff>
      <xdr:row>52</xdr:row>
      <xdr:rowOff>28575</xdr:rowOff>
    </xdr:to>
    <xdr:sp>
      <xdr:nvSpPr>
        <xdr:cNvPr id="330" name="Line 724"/>
        <xdr:cNvSpPr>
          <a:spLocks/>
        </xdr:cNvSpPr>
      </xdr:nvSpPr>
      <xdr:spPr>
        <a:xfrm>
          <a:off x="12563475" y="972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190500</xdr:rowOff>
    </xdr:from>
    <xdr:to>
      <xdr:col>31</xdr:col>
      <xdr:colOff>0</xdr:colOff>
      <xdr:row>53</xdr:row>
      <xdr:rowOff>28575</xdr:rowOff>
    </xdr:to>
    <xdr:sp>
      <xdr:nvSpPr>
        <xdr:cNvPr id="331" name="Line 724"/>
        <xdr:cNvSpPr>
          <a:spLocks/>
        </xdr:cNvSpPr>
      </xdr:nvSpPr>
      <xdr:spPr>
        <a:xfrm>
          <a:off x="9829800" y="991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52</xdr:row>
      <xdr:rowOff>190500</xdr:rowOff>
    </xdr:from>
    <xdr:to>
      <xdr:col>38</xdr:col>
      <xdr:colOff>0</xdr:colOff>
      <xdr:row>53</xdr:row>
      <xdr:rowOff>28575</xdr:rowOff>
    </xdr:to>
    <xdr:sp>
      <xdr:nvSpPr>
        <xdr:cNvPr id="332" name="Line 724"/>
        <xdr:cNvSpPr>
          <a:spLocks/>
        </xdr:cNvSpPr>
      </xdr:nvSpPr>
      <xdr:spPr>
        <a:xfrm>
          <a:off x="12563475" y="991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53</xdr:row>
      <xdr:rowOff>190500</xdr:rowOff>
    </xdr:from>
    <xdr:to>
      <xdr:col>31</xdr:col>
      <xdr:colOff>0</xdr:colOff>
      <xdr:row>54</xdr:row>
      <xdr:rowOff>28575</xdr:rowOff>
    </xdr:to>
    <xdr:sp>
      <xdr:nvSpPr>
        <xdr:cNvPr id="333" name="Line 724"/>
        <xdr:cNvSpPr>
          <a:spLocks/>
        </xdr:cNvSpPr>
      </xdr:nvSpPr>
      <xdr:spPr>
        <a:xfrm>
          <a:off x="9829800" y="1010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53</xdr:row>
      <xdr:rowOff>190500</xdr:rowOff>
    </xdr:from>
    <xdr:to>
      <xdr:col>38</xdr:col>
      <xdr:colOff>0</xdr:colOff>
      <xdr:row>54</xdr:row>
      <xdr:rowOff>28575</xdr:rowOff>
    </xdr:to>
    <xdr:sp>
      <xdr:nvSpPr>
        <xdr:cNvPr id="334" name="Line 724"/>
        <xdr:cNvSpPr>
          <a:spLocks/>
        </xdr:cNvSpPr>
      </xdr:nvSpPr>
      <xdr:spPr>
        <a:xfrm>
          <a:off x="12563475" y="1010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54</xdr:row>
      <xdr:rowOff>190500</xdr:rowOff>
    </xdr:from>
    <xdr:to>
      <xdr:col>31</xdr:col>
      <xdr:colOff>0</xdr:colOff>
      <xdr:row>55</xdr:row>
      <xdr:rowOff>28575</xdr:rowOff>
    </xdr:to>
    <xdr:sp>
      <xdr:nvSpPr>
        <xdr:cNvPr id="335" name="Line 724"/>
        <xdr:cNvSpPr>
          <a:spLocks/>
        </xdr:cNvSpPr>
      </xdr:nvSpPr>
      <xdr:spPr>
        <a:xfrm>
          <a:off x="9829800" y="1029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54</xdr:row>
      <xdr:rowOff>190500</xdr:rowOff>
    </xdr:from>
    <xdr:to>
      <xdr:col>38</xdr:col>
      <xdr:colOff>0</xdr:colOff>
      <xdr:row>55</xdr:row>
      <xdr:rowOff>28575</xdr:rowOff>
    </xdr:to>
    <xdr:sp>
      <xdr:nvSpPr>
        <xdr:cNvPr id="336" name="Line 724"/>
        <xdr:cNvSpPr>
          <a:spLocks/>
        </xdr:cNvSpPr>
      </xdr:nvSpPr>
      <xdr:spPr>
        <a:xfrm>
          <a:off x="12563475" y="1029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55</xdr:row>
      <xdr:rowOff>190500</xdr:rowOff>
    </xdr:from>
    <xdr:to>
      <xdr:col>31</xdr:col>
      <xdr:colOff>0</xdr:colOff>
      <xdr:row>56</xdr:row>
      <xdr:rowOff>28575</xdr:rowOff>
    </xdr:to>
    <xdr:sp>
      <xdr:nvSpPr>
        <xdr:cNvPr id="337" name="Line 724"/>
        <xdr:cNvSpPr>
          <a:spLocks/>
        </xdr:cNvSpPr>
      </xdr:nvSpPr>
      <xdr:spPr>
        <a:xfrm>
          <a:off x="9829800" y="1048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190500</xdr:rowOff>
    </xdr:from>
    <xdr:to>
      <xdr:col>38</xdr:col>
      <xdr:colOff>0</xdr:colOff>
      <xdr:row>56</xdr:row>
      <xdr:rowOff>28575</xdr:rowOff>
    </xdr:to>
    <xdr:sp>
      <xdr:nvSpPr>
        <xdr:cNvPr id="338" name="Line 724"/>
        <xdr:cNvSpPr>
          <a:spLocks/>
        </xdr:cNvSpPr>
      </xdr:nvSpPr>
      <xdr:spPr>
        <a:xfrm>
          <a:off x="12563475" y="1048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56</xdr:row>
      <xdr:rowOff>190500</xdr:rowOff>
    </xdr:from>
    <xdr:to>
      <xdr:col>31</xdr:col>
      <xdr:colOff>0</xdr:colOff>
      <xdr:row>57</xdr:row>
      <xdr:rowOff>28575</xdr:rowOff>
    </xdr:to>
    <xdr:sp>
      <xdr:nvSpPr>
        <xdr:cNvPr id="339" name="Line 724"/>
        <xdr:cNvSpPr>
          <a:spLocks/>
        </xdr:cNvSpPr>
      </xdr:nvSpPr>
      <xdr:spPr>
        <a:xfrm>
          <a:off x="9829800" y="1067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56</xdr:row>
      <xdr:rowOff>190500</xdr:rowOff>
    </xdr:from>
    <xdr:to>
      <xdr:col>38</xdr:col>
      <xdr:colOff>0</xdr:colOff>
      <xdr:row>57</xdr:row>
      <xdr:rowOff>28575</xdr:rowOff>
    </xdr:to>
    <xdr:sp>
      <xdr:nvSpPr>
        <xdr:cNvPr id="340" name="Line 724"/>
        <xdr:cNvSpPr>
          <a:spLocks/>
        </xdr:cNvSpPr>
      </xdr:nvSpPr>
      <xdr:spPr>
        <a:xfrm>
          <a:off x="12563475" y="1067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57</xdr:row>
      <xdr:rowOff>190500</xdr:rowOff>
    </xdr:from>
    <xdr:to>
      <xdr:col>31</xdr:col>
      <xdr:colOff>0</xdr:colOff>
      <xdr:row>58</xdr:row>
      <xdr:rowOff>28575</xdr:rowOff>
    </xdr:to>
    <xdr:sp>
      <xdr:nvSpPr>
        <xdr:cNvPr id="341" name="Line 724"/>
        <xdr:cNvSpPr>
          <a:spLocks/>
        </xdr:cNvSpPr>
      </xdr:nvSpPr>
      <xdr:spPr>
        <a:xfrm>
          <a:off x="9829800" y="1086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57</xdr:row>
      <xdr:rowOff>190500</xdr:rowOff>
    </xdr:from>
    <xdr:to>
      <xdr:col>38</xdr:col>
      <xdr:colOff>0</xdr:colOff>
      <xdr:row>58</xdr:row>
      <xdr:rowOff>28575</xdr:rowOff>
    </xdr:to>
    <xdr:sp>
      <xdr:nvSpPr>
        <xdr:cNvPr id="342" name="Line 724"/>
        <xdr:cNvSpPr>
          <a:spLocks/>
        </xdr:cNvSpPr>
      </xdr:nvSpPr>
      <xdr:spPr>
        <a:xfrm>
          <a:off x="12563475" y="1086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58</xdr:row>
      <xdr:rowOff>190500</xdr:rowOff>
    </xdr:from>
    <xdr:to>
      <xdr:col>31</xdr:col>
      <xdr:colOff>0</xdr:colOff>
      <xdr:row>59</xdr:row>
      <xdr:rowOff>28575</xdr:rowOff>
    </xdr:to>
    <xdr:sp>
      <xdr:nvSpPr>
        <xdr:cNvPr id="343" name="Line 724"/>
        <xdr:cNvSpPr>
          <a:spLocks/>
        </xdr:cNvSpPr>
      </xdr:nvSpPr>
      <xdr:spPr>
        <a:xfrm>
          <a:off x="9829800" y="1105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58</xdr:row>
      <xdr:rowOff>190500</xdr:rowOff>
    </xdr:from>
    <xdr:to>
      <xdr:col>38</xdr:col>
      <xdr:colOff>0</xdr:colOff>
      <xdr:row>59</xdr:row>
      <xdr:rowOff>28575</xdr:rowOff>
    </xdr:to>
    <xdr:sp>
      <xdr:nvSpPr>
        <xdr:cNvPr id="344" name="Line 724"/>
        <xdr:cNvSpPr>
          <a:spLocks/>
        </xdr:cNvSpPr>
      </xdr:nvSpPr>
      <xdr:spPr>
        <a:xfrm>
          <a:off x="12563475" y="1105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59</xdr:row>
      <xdr:rowOff>190500</xdr:rowOff>
    </xdr:from>
    <xdr:to>
      <xdr:col>31</xdr:col>
      <xdr:colOff>0</xdr:colOff>
      <xdr:row>60</xdr:row>
      <xdr:rowOff>28575</xdr:rowOff>
    </xdr:to>
    <xdr:sp>
      <xdr:nvSpPr>
        <xdr:cNvPr id="345" name="Line 724"/>
        <xdr:cNvSpPr>
          <a:spLocks/>
        </xdr:cNvSpPr>
      </xdr:nvSpPr>
      <xdr:spPr>
        <a:xfrm>
          <a:off x="9829800" y="1124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190500</xdr:rowOff>
    </xdr:from>
    <xdr:to>
      <xdr:col>38</xdr:col>
      <xdr:colOff>0</xdr:colOff>
      <xdr:row>60</xdr:row>
      <xdr:rowOff>28575</xdr:rowOff>
    </xdr:to>
    <xdr:sp>
      <xdr:nvSpPr>
        <xdr:cNvPr id="346" name="Line 724"/>
        <xdr:cNvSpPr>
          <a:spLocks/>
        </xdr:cNvSpPr>
      </xdr:nvSpPr>
      <xdr:spPr>
        <a:xfrm>
          <a:off x="12563475" y="1124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60</xdr:row>
      <xdr:rowOff>190500</xdr:rowOff>
    </xdr:from>
    <xdr:to>
      <xdr:col>31</xdr:col>
      <xdr:colOff>0</xdr:colOff>
      <xdr:row>61</xdr:row>
      <xdr:rowOff>28575</xdr:rowOff>
    </xdr:to>
    <xdr:sp>
      <xdr:nvSpPr>
        <xdr:cNvPr id="347" name="Line 724"/>
        <xdr:cNvSpPr>
          <a:spLocks/>
        </xdr:cNvSpPr>
      </xdr:nvSpPr>
      <xdr:spPr>
        <a:xfrm>
          <a:off x="9829800" y="1143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60</xdr:row>
      <xdr:rowOff>190500</xdr:rowOff>
    </xdr:from>
    <xdr:to>
      <xdr:col>38</xdr:col>
      <xdr:colOff>0</xdr:colOff>
      <xdr:row>61</xdr:row>
      <xdr:rowOff>28575</xdr:rowOff>
    </xdr:to>
    <xdr:sp>
      <xdr:nvSpPr>
        <xdr:cNvPr id="348" name="Line 724"/>
        <xdr:cNvSpPr>
          <a:spLocks/>
        </xdr:cNvSpPr>
      </xdr:nvSpPr>
      <xdr:spPr>
        <a:xfrm>
          <a:off x="12563475" y="1143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190500</xdr:rowOff>
    </xdr:from>
    <xdr:to>
      <xdr:col>31</xdr:col>
      <xdr:colOff>0</xdr:colOff>
      <xdr:row>62</xdr:row>
      <xdr:rowOff>28575</xdr:rowOff>
    </xdr:to>
    <xdr:sp>
      <xdr:nvSpPr>
        <xdr:cNvPr id="349" name="Line 724"/>
        <xdr:cNvSpPr>
          <a:spLocks/>
        </xdr:cNvSpPr>
      </xdr:nvSpPr>
      <xdr:spPr>
        <a:xfrm>
          <a:off x="9829800" y="1163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61</xdr:row>
      <xdr:rowOff>190500</xdr:rowOff>
    </xdr:from>
    <xdr:to>
      <xdr:col>38</xdr:col>
      <xdr:colOff>0</xdr:colOff>
      <xdr:row>62</xdr:row>
      <xdr:rowOff>28575</xdr:rowOff>
    </xdr:to>
    <xdr:sp>
      <xdr:nvSpPr>
        <xdr:cNvPr id="350" name="Line 724"/>
        <xdr:cNvSpPr>
          <a:spLocks/>
        </xdr:cNvSpPr>
      </xdr:nvSpPr>
      <xdr:spPr>
        <a:xfrm>
          <a:off x="12563475" y="1163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190500</xdr:rowOff>
    </xdr:from>
    <xdr:to>
      <xdr:col>31</xdr:col>
      <xdr:colOff>0</xdr:colOff>
      <xdr:row>63</xdr:row>
      <xdr:rowOff>28575</xdr:rowOff>
    </xdr:to>
    <xdr:sp>
      <xdr:nvSpPr>
        <xdr:cNvPr id="351" name="Line 724"/>
        <xdr:cNvSpPr>
          <a:spLocks/>
        </xdr:cNvSpPr>
      </xdr:nvSpPr>
      <xdr:spPr>
        <a:xfrm>
          <a:off x="9829800" y="1182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62</xdr:row>
      <xdr:rowOff>190500</xdr:rowOff>
    </xdr:from>
    <xdr:to>
      <xdr:col>38</xdr:col>
      <xdr:colOff>0</xdr:colOff>
      <xdr:row>63</xdr:row>
      <xdr:rowOff>28575</xdr:rowOff>
    </xdr:to>
    <xdr:sp>
      <xdr:nvSpPr>
        <xdr:cNvPr id="352" name="Line 724"/>
        <xdr:cNvSpPr>
          <a:spLocks/>
        </xdr:cNvSpPr>
      </xdr:nvSpPr>
      <xdr:spPr>
        <a:xfrm>
          <a:off x="12563475" y="1182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63</xdr:row>
      <xdr:rowOff>190500</xdr:rowOff>
    </xdr:from>
    <xdr:to>
      <xdr:col>31</xdr:col>
      <xdr:colOff>0</xdr:colOff>
      <xdr:row>64</xdr:row>
      <xdr:rowOff>28575</xdr:rowOff>
    </xdr:to>
    <xdr:sp>
      <xdr:nvSpPr>
        <xdr:cNvPr id="353" name="Line 724"/>
        <xdr:cNvSpPr>
          <a:spLocks/>
        </xdr:cNvSpPr>
      </xdr:nvSpPr>
      <xdr:spPr>
        <a:xfrm>
          <a:off x="9829800" y="1201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63</xdr:row>
      <xdr:rowOff>190500</xdr:rowOff>
    </xdr:from>
    <xdr:to>
      <xdr:col>38</xdr:col>
      <xdr:colOff>0</xdr:colOff>
      <xdr:row>64</xdr:row>
      <xdr:rowOff>28575</xdr:rowOff>
    </xdr:to>
    <xdr:sp>
      <xdr:nvSpPr>
        <xdr:cNvPr id="354" name="Line 724"/>
        <xdr:cNvSpPr>
          <a:spLocks/>
        </xdr:cNvSpPr>
      </xdr:nvSpPr>
      <xdr:spPr>
        <a:xfrm>
          <a:off x="12563475" y="1201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190500</xdr:rowOff>
    </xdr:from>
    <xdr:to>
      <xdr:col>31</xdr:col>
      <xdr:colOff>0</xdr:colOff>
      <xdr:row>65</xdr:row>
      <xdr:rowOff>28575</xdr:rowOff>
    </xdr:to>
    <xdr:sp>
      <xdr:nvSpPr>
        <xdr:cNvPr id="355" name="Line 724"/>
        <xdr:cNvSpPr>
          <a:spLocks/>
        </xdr:cNvSpPr>
      </xdr:nvSpPr>
      <xdr:spPr>
        <a:xfrm>
          <a:off x="9829800" y="1220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190500</xdr:rowOff>
    </xdr:from>
    <xdr:to>
      <xdr:col>38</xdr:col>
      <xdr:colOff>0</xdr:colOff>
      <xdr:row>65</xdr:row>
      <xdr:rowOff>28575</xdr:rowOff>
    </xdr:to>
    <xdr:sp>
      <xdr:nvSpPr>
        <xdr:cNvPr id="356" name="Line 724"/>
        <xdr:cNvSpPr>
          <a:spLocks/>
        </xdr:cNvSpPr>
      </xdr:nvSpPr>
      <xdr:spPr>
        <a:xfrm>
          <a:off x="12563475" y="1220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65</xdr:row>
      <xdr:rowOff>190500</xdr:rowOff>
    </xdr:from>
    <xdr:to>
      <xdr:col>31</xdr:col>
      <xdr:colOff>0</xdr:colOff>
      <xdr:row>66</xdr:row>
      <xdr:rowOff>28575</xdr:rowOff>
    </xdr:to>
    <xdr:sp>
      <xdr:nvSpPr>
        <xdr:cNvPr id="357" name="Line 724"/>
        <xdr:cNvSpPr>
          <a:spLocks/>
        </xdr:cNvSpPr>
      </xdr:nvSpPr>
      <xdr:spPr>
        <a:xfrm>
          <a:off x="9829800" y="1239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65</xdr:row>
      <xdr:rowOff>190500</xdr:rowOff>
    </xdr:from>
    <xdr:to>
      <xdr:col>38</xdr:col>
      <xdr:colOff>0</xdr:colOff>
      <xdr:row>66</xdr:row>
      <xdr:rowOff>28575</xdr:rowOff>
    </xdr:to>
    <xdr:sp>
      <xdr:nvSpPr>
        <xdr:cNvPr id="358" name="Line 724"/>
        <xdr:cNvSpPr>
          <a:spLocks/>
        </xdr:cNvSpPr>
      </xdr:nvSpPr>
      <xdr:spPr>
        <a:xfrm>
          <a:off x="12563475" y="1239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190500</xdr:rowOff>
    </xdr:from>
    <xdr:to>
      <xdr:col>31</xdr:col>
      <xdr:colOff>0</xdr:colOff>
      <xdr:row>67</xdr:row>
      <xdr:rowOff>28575</xdr:rowOff>
    </xdr:to>
    <xdr:sp>
      <xdr:nvSpPr>
        <xdr:cNvPr id="359" name="Line 724"/>
        <xdr:cNvSpPr>
          <a:spLocks/>
        </xdr:cNvSpPr>
      </xdr:nvSpPr>
      <xdr:spPr>
        <a:xfrm>
          <a:off x="9829800" y="1258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66</xdr:row>
      <xdr:rowOff>190500</xdr:rowOff>
    </xdr:from>
    <xdr:to>
      <xdr:col>38</xdr:col>
      <xdr:colOff>0</xdr:colOff>
      <xdr:row>67</xdr:row>
      <xdr:rowOff>28575</xdr:rowOff>
    </xdr:to>
    <xdr:sp>
      <xdr:nvSpPr>
        <xdr:cNvPr id="360" name="Line 724"/>
        <xdr:cNvSpPr>
          <a:spLocks/>
        </xdr:cNvSpPr>
      </xdr:nvSpPr>
      <xdr:spPr>
        <a:xfrm>
          <a:off x="12563475" y="1258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190500</xdr:rowOff>
    </xdr:from>
    <xdr:to>
      <xdr:col>31</xdr:col>
      <xdr:colOff>0</xdr:colOff>
      <xdr:row>68</xdr:row>
      <xdr:rowOff>28575</xdr:rowOff>
    </xdr:to>
    <xdr:sp>
      <xdr:nvSpPr>
        <xdr:cNvPr id="361" name="Line 724"/>
        <xdr:cNvSpPr>
          <a:spLocks/>
        </xdr:cNvSpPr>
      </xdr:nvSpPr>
      <xdr:spPr>
        <a:xfrm>
          <a:off x="9829800" y="1277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67</xdr:row>
      <xdr:rowOff>190500</xdr:rowOff>
    </xdr:from>
    <xdr:to>
      <xdr:col>38</xdr:col>
      <xdr:colOff>0</xdr:colOff>
      <xdr:row>68</xdr:row>
      <xdr:rowOff>28575</xdr:rowOff>
    </xdr:to>
    <xdr:sp>
      <xdr:nvSpPr>
        <xdr:cNvPr id="362" name="Line 724"/>
        <xdr:cNvSpPr>
          <a:spLocks/>
        </xdr:cNvSpPr>
      </xdr:nvSpPr>
      <xdr:spPr>
        <a:xfrm>
          <a:off x="12563475" y="1277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68</xdr:row>
      <xdr:rowOff>190500</xdr:rowOff>
    </xdr:from>
    <xdr:to>
      <xdr:col>31</xdr:col>
      <xdr:colOff>0</xdr:colOff>
      <xdr:row>69</xdr:row>
      <xdr:rowOff>28575</xdr:rowOff>
    </xdr:to>
    <xdr:sp>
      <xdr:nvSpPr>
        <xdr:cNvPr id="363" name="Line 724"/>
        <xdr:cNvSpPr>
          <a:spLocks/>
        </xdr:cNvSpPr>
      </xdr:nvSpPr>
      <xdr:spPr>
        <a:xfrm>
          <a:off x="9829800" y="1296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68</xdr:row>
      <xdr:rowOff>190500</xdr:rowOff>
    </xdr:from>
    <xdr:to>
      <xdr:col>38</xdr:col>
      <xdr:colOff>0</xdr:colOff>
      <xdr:row>69</xdr:row>
      <xdr:rowOff>28575</xdr:rowOff>
    </xdr:to>
    <xdr:sp>
      <xdr:nvSpPr>
        <xdr:cNvPr id="364" name="Line 724"/>
        <xdr:cNvSpPr>
          <a:spLocks/>
        </xdr:cNvSpPr>
      </xdr:nvSpPr>
      <xdr:spPr>
        <a:xfrm>
          <a:off x="12563475" y="1296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190500</xdr:rowOff>
    </xdr:from>
    <xdr:to>
      <xdr:col>38</xdr:col>
      <xdr:colOff>0</xdr:colOff>
      <xdr:row>31</xdr:row>
      <xdr:rowOff>28575</xdr:rowOff>
    </xdr:to>
    <xdr:sp>
      <xdr:nvSpPr>
        <xdr:cNvPr id="365" name="Line 724"/>
        <xdr:cNvSpPr>
          <a:spLocks/>
        </xdr:cNvSpPr>
      </xdr:nvSpPr>
      <xdr:spPr>
        <a:xfrm>
          <a:off x="12563475" y="572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190500</xdr:rowOff>
    </xdr:from>
    <xdr:to>
      <xdr:col>38</xdr:col>
      <xdr:colOff>0</xdr:colOff>
      <xdr:row>32</xdr:row>
      <xdr:rowOff>28575</xdr:rowOff>
    </xdr:to>
    <xdr:sp>
      <xdr:nvSpPr>
        <xdr:cNvPr id="366" name="Line 724"/>
        <xdr:cNvSpPr>
          <a:spLocks/>
        </xdr:cNvSpPr>
      </xdr:nvSpPr>
      <xdr:spPr>
        <a:xfrm>
          <a:off x="12563475" y="591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190500</xdr:rowOff>
    </xdr:from>
    <xdr:to>
      <xdr:col>38</xdr:col>
      <xdr:colOff>0</xdr:colOff>
      <xdr:row>33</xdr:row>
      <xdr:rowOff>28575</xdr:rowOff>
    </xdr:to>
    <xdr:sp>
      <xdr:nvSpPr>
        <xdr:cNvPr id="367" name="Line 724"/>
        <xdr:cNvSpPr>
          <a:spLocks/>
        </xdr:cNvSpPr>
      </xdr:nvSpPr>
      <xdr:spPr>
        <a:xfrm>
          <a:off x="12563475" y="610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33</xdr:row>
      <xdr:rowOff>190500</xdr:rowOff>
    </xdr:from>
    <xdr:to>
      <xdr:col>38</xdr:col>
      <xdr:colOff>0</xdr:colOff>
      <xdr:row>34</xdr:row>
      <xdr:rowOff>28575</xdr:rowOff>
    </xdr:to>
    <xdr:sp>
      <xdr:nvSpPr>
        <xdr:cNvPr id="368" name="Line 724"/>
        <xdr:cNvSpPr>
          <a:spLocks/>
        </xdr:cNvSpPr>
      </xdr:nvSpPr>
      <xdr:spPr>
        <a:xfrm>
          <a:off x="12563475" y="629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190500</xdr:rowOff>
    </xdr:from>
    <xdr:to>
      <xdr:col>38</xdr:col>
      <xdr:colOff>0</xdr:colOff>
      <xdr:row>35</xdr:row>
      <xdr:rowOff>28575</xdr:rowOff>
    </xdr:to>
    <xdr:sp>
      <xdr:nvSpPr>
        <xdr:cNvPr id="369" name="Line 724"/>
        <xdr:cNvSpPr>
          <a:spLocks/>
        </xdr:cNvSpPr>
      </xdr:nvSpPr>
      <xdr:spPr>
        <a:xfrm>
          <a:off x="12563475" y="648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190500</xdr:rowOff>
    </xdr:from>
    <xdr:to>
      <xdr:col>38</xdr:col>
      <xdr:colOff>0</xdr:colOff>
      <xdr:row>36</xdr:row>
      <xdr:rowOff>28575</xdr:rowOff>
    </xdr:to>
    <xdr:sp>
      <xdr:nvSpPr>
        <xdr:cNvPr id="370" name="Line 724"/>
        <xdr:cNvSpPr>
          <a:spLocks/>
        </xdr:cNvSpPr>
      </xdr:nvSpPr>
      <xdr:spPr>
        <a:xfrm>
          <a:off x="12563475" y="667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190500</xdr:rowOff>
    </xdr:from>
    <xdr:to>
      <xdr:col>38</xdr:col>
      <xdr:colOff>0</xdr:colOff>
      <xdr:row>37</xdr:row>
      <xdr:rowOff>28575</xdr:rowOff>
    </xdr:to>
    <xdr:sp>
      <xdr:nvSpPr>
        <xdr:cNvPr id="371" name="Line 724"/>
        <xdr:cNvSpPr>
          <a:spLocks/>
        </xdr:cNvSpPr>
      </xdr:nvSpPr>
      <xdr:spPr>
        <a:xfrm>
          <a:off x="12563475" y="686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190500</xdr:rowOff>
    </xdr:from>
    <xdr:to>
      <xdr:col>38</xdr:col>
      <xdr:colOff>0</xdr:colOff>
      <xdr:row>38</xdr:row>
      <xdr:rowOff>28575</xdr:rowOff>
    </xdr:to>
    <xdr:sp>
      <xdr:nvSpPr>
        <xdr:cNvPr id="372" name="Line 724"/>
        <xdr:cNvSpPr>
          <a:spLocks/>
        </xdr:cNvSpPr>
      </xdr:nvSpPr>
      <xdr:spPr>
        <a:xfrm>
          <a:off x="12563475" y="705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190500</xdr:rowOff>
    </xdr:from>
    <xdr:to>
      <xdr:col>38</xdr:col>
      <xdr:colOff>0</xdr:colOff>
      <xdr:row>39</xdr:row>
      <xdr:rowOff>28575</xdr:rowOff>
    </xdr:to>
    <xdr:sp>
      <xdr:nvSpPr>
        <xdr:cNvPr id="373" name="Line 724"/>
        <xdr:cNvSpPr>
          <a:spLocks/>
        </xdr:cNvSpPr>
      </xdr:nvSpPr>
      <xdr:spPr>
        <a:xfrm>
          <a:off x="12563475" y="724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190500</xdr:rowOff>
    </xdr:from>
    <xdr:to>
      <xdr:col>38</xdr:col>
      <xdr:colOff>0</xdr:colOff>
      <xdr:row>40</xdr:row>
      <xdr:rowOff>28575</xdr:rowOff>
    </xdr:to>
    <xdr:sp>
      <xdr:nvSpPr>
        <xdr:cNvPr id="374" name="Line 724"/>
        <xdr:cNvSpPr>
          <a:spLocks/>
        </xdr:cNvSpPr>
      </xdr:nvSpPr>
      <xdr:spPr>
        <a:xfrm>
          <a:off x="12563475" y="743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40</xdr:row>
      <xdr:rowOff>190500</xdr:rowOff>
    </xdr:from>
    <xdr:to>
      <xdr:col>38</xdr:col>
      <xdr:colOff>0</xdr:colOff>
      <xdr:row>41</xdr:row>
      <xdr:rowOff>28575</xdr:rowOff>
    </xdr:to>
    <xdr:sp>
      <xdr:nvSpPr>
        <xdr:cNvPr id="375" name="Line 724"/>
        <xdr:cNvSpPr>
          <a:spLocks/>
        </xdr:cNvSpPr>
      </xdr:nvSpPr>
      <xdr:spPr>
        <a:xfrm>
          <a:off x="12563475" y="762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190500</xdr:rowOff>
    </xdr:from>
    <xdr:to>
      <xdr:col>38</xdr:col>
      <xdr:colOff>0</xdr:colOff>
      <xdr:row>42</xdr:row>
      <xdr:rowOff>28575</xdr:rowOff>
    </xdr:to>
    <xdr:sp>
      <xdr:nvSpPr>
        <xdr:cNvPr id="376" name="Line 724"/>
        <xdr:cNvSpPr>
          <a:spLocks/>
        </xdr:cNvSpPr>
      </xdr:nvSpPr>
      <xdr:spPr>
        <a:xfrm>
          <a:off x="12563475" y="782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42</xdr:row>
      <xdr:rowOff>190500</xdr:rowOff>
    </xdr:from>
    <xdr:to>
      <xdr:col>38</xdr:col>
      <xdr:colOff>0</xdr:colOff>
      <xdr:row>43</xdr:row>
      <xdr:rowOff>28575</xdr:rowOff>
    </xdr:to>
    <xdr:sp>
      <xdr:nvSpPr>
        <xdr:cNvPr id="377" name="Line 724"/>
        <xdr:cNvSpPr>
          <a:spLocks/>
        </xdr:cNvSpPr>
      </xdr:nvSpPr>
      <xdr:spPr>
        <a:xfrm>
          <a:off x="12563475" y="801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43</xdr:row>
      <xdr:rowOff>190500</xdr:rowOff>
    </xdr:from>
    <xdr:to>
      <xdr:col>38</xdr:col>
      <xdr:colOff>0</xdr:colOff>
      <xdr:row>44</xdr:row>
      <xdr:rowOff>28575</xdr:rowOff>
    </xdr:to>
    <xdr:sp>
      <xdr:nvSpPr>
        <xdr:cNvPr id="378" name="Line 724"/>
        <xdr:cNvSpPr>
          <a:spLocks/>
        </xdr:cNvSpPr>
      </xdr:nvSpPr>
      <xdr:spPr>
        <a:xfrm>
          <a:off x="12563475" y="820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44</xdr:row>
      <xdr:rowOff>190500</xdr:rowOff>
    </xdr:from>
    <xdr:to>
      <xdr:col>38</xdr:col>
      <xdr:colOff>0</xdr:colOff>
      <xdr:row>45</xdr:row>
      <xdr:rowOff>28575</xdr:rowOff>
    </xdr:to>
    <xdr:sp>
      <xdr:nvSpPr>
        <xdr:cNvPr id="379" name="Line 724"/>
        <xdr:cNvSpPr>
          <a:spLocks/>
        </xdr:cNvSpPr>
      </xdr:nvSpPr>
      <xdr:spPr>
        <a:xfrm>
          <a:off x="12563475" y="839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45</xdr:row>
      <xdr:rowOff>190500</xdr:rowOff>
    </xdr:from>
    <xdr:to>
      <xdr:col>38</xdr:col>
      <xdr:colOff>0</xdr:colOff>
      <xdr:row>46</xdr:row>
      <xdr:rowOff>28575</xdr:rowOff>
    </xdr:to>
    <xdr:sp>
      <xdr:nvSpPr>
        <xdr:cNvPr id="380" name="Line 724"/>
        <xdr:cNvSpPr>
          <a:spLocks/>
        </xdr:cNvSpPr>
      </xdr:nvSpPr>
      <xdr:spPr>
        <a:xfrm>
          <a:off x="12563475" y="858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190500</xdr:rowOff>
    </xdr:from>
    <xdr:to>
      <xdr:col>38</xdr:col>
      <xdr:colOff>0</xdr:colOff>
      <xdr:row>31</xdr:row>
      <xdr:rowOff>28575</xdr:rowOff>
    </xdr:to>
    <xdr:sp>
      <xdr:nvSpPr>
        <xdr:cNvPr id="381" name="Line 724"/>
        <xdr:cNvSpPr>
          <a:spLocks/>
        </xdr:cNvSpPr>
      </xdr:nvSpPr>
      <xdr:spPr>
        <a:xfrm>
          <a:off x="12563475" y="572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190500</xdr:rowOff>
    </xdr:from>
    <xdr:to>
      <xdr:col>38</xdr:col>
      <xdr:colOff>0</xdr:colOff>
      <xdr:row>32</xdr:row>
      <xdr:rowOff>28575</xdr:rowOff>
    </xdr:to>
    <xdr:sp>
      <xdr:nvSpPr>
        <xdr:cNvPr id="382" name="Line 724"/>
        <xdr:cNvSpPr>
          <a:spLocks/>
        </xdr:cNvSpPr>
      </xdr:nvSpPr>
      <xdr:spPr>
        <a:xfrm>
          <a:off x="12563475" y="591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190500</xdr:rowOff>
    </xdr:from>
    <xdr:to>
      <xdr:col>38</xdr:col>
      <xdr:colOff>0</xdr:colOff>
      <xdr:row>33</xdr:row>
      <xdr:rowOff>28575</xdr:rowOff>
    </xdr:to>
    <xdr:sp>
      <xdr:nvSpPr>
        <xdr:cNvPr id="383" name="Line 724"/>
        <xdr:cNvSpPr>
          <a:spLocks/>
        </xdr:cNvSpPr>
      </xdr:nvSpPr>
      <xdr:spPr>
        <a:xfrm>
          <a:off x="12563475" y="610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33</xdr:row>
      <xdr:rowOff>190500</xdr:rowOff>
    </xdr:from>
    <xdr:to>
      <xdr:col>38</xdr:col>
      <xdr:colOff>0</xdr:colOff>
      <xdr:row>34</xdr:row>
      <xdr:rowOff>28575</xdr:rowOff>
    </xdr:to>
    <xdr:sp>
      <xdr:nvSpPr>
        <xdr:cNvPr id="384" name="Line 724"/>
        <xdr:cNvSpPr>
          <a:spLocks/>
        </xdr:cNvSpPr>
      </xdr:nvSpPr>
      <xdr:spPr>
        <a:xfrm>
          <a:off x="12563475" y="629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190500</xdr:rowOff>
    </xdr:from>
    <xdr:to>
      <xdr:col>38</xdr:col>
      <xdr:colOff>0</xdr:colOff>
      <xdr:row>35</xdr:row>
      <xdr:rowOff>28575</xdr:rowOff>
    </xdr:to>
    <xdr:sp>
      <xdr:nvSpPr>
        <xdr:cNvPr id="385" name="Line 724"/>
        <xdr:cNvSpPr>
          <a:spLocks/>
        </xdr:cNvSpPr>
      </xdr:nvSpPr>
      <xdr:spPr>
        <a:xfrm>
          <a:off x="12563475" y="648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190500</xdr:rowOff>
    </xdr:from>
    <xdr:to>
      <xdr:col>38</xdr:col>
      <xdr:colOff>0</xdr:colOff>
      <xdr:row>36</xdr:row>
      <xdr:rowOff>28575</xdr:rowOff>
    </xdr:to>
    <xdr:sp>
      <xdr:nvSpPr>
        <xdr:cNvPr id="386" name="Line 724"/>
        <xdr:cNvSpPr>
          <a:spLocks/>
        </xdr:cNvSpPr>
      </xdr:nvSpPr>
      <xdr:spPr>
        <a:xfrm>
          <a:off x="12563475" y="667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190500</xdr:rowOff>
    </xdr:from>
    <xdr:to>
      <xdr:col>38</xdr:col>
      <xdr:colOff>0</xdr:colOff>
      <xdr:row>37</xdr:row>
      <xdr:rowOff>28575</xdr:rowOff>
    </xdr:to>
    <xdr:sp>
      <xdr:nvSpPr>
        <xdr:cNvPr id="387" name="Line 724"/>
        <xdr:cNvSpPr>
          <a:spLocks/>
        </xdr:cNvSpPr>
      </xdr:nvSpPr>
      <xdr:spPr>
        <a:xfrm>
          <a:off x="12563475" y="686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190500</xdr:rowOff>
    </xdr:from>
    <xdr:to>
      <xdr:col>38</xdr:col>
      <xdr:colOff>0</xdr:colOff>
      <xdr:row>38</xdr:row>
      <xdr:rowOff>28575</xdr:rowOff>
    </xdr:to>
    <xdr:sp>
      <xdr:nvSpPr>
        <xdr:cNvPr id="388" name="Line 724"/>
        <xdr:cNvSpPr>
          <a:spLocks/>
        </xdr:cNvSpPr>
      </xdr:nvSpPr>
      <xdr:spPr>
        <a:xfrm>
          <a:off x="12563475" y="705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190500</xdr:rowOff>
    </xdr:from>
    <xdr:to>
      <xdr:col>38</xdr:col>
      <xdr:colOff>0</xdr:colOff>
      <xdr:row>39</xdr:row>
      <xdr:rowOff>28575</xdr:rowOff>
    </xdr:to>
    <xdr:sp>
      <xdr:nvSpPr>
        <xdr:cNvPr id="389" name="Line 724"/>
        <xdr:cNvSpPr>
          <a:spLocks/>
        </xdr:cNvSpPr>
      </xdr:nvSpPr>
      <xdr:spPr>
        <a:xfrm>
          <a:off x="12563475" y="724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190500</xdr:rowOff>
    </xdr:from>
    <xdr:to>
      <xdr:col>38</xdr:col>
      <xdr:colOff>0</xdr:colOff>
      <xdr:row>40</xdr:row>
      <xdr:rowOff>28575</xdr:rowOff>
    </xdr:to>
    <xdr:sp>
      <xdr:nvSpPr>
        <xdr:cNvPr id="390" name="Line 724"/>
        <xdr:cNvSpPr>
          <a:spLocks/>
        </xdr:cNvSpPr>
      </xdr:nvSpPr>
      <xdr:spPr>
        <a:xfrm>
          <a:off x="12563475" y="743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40</xdr:row>
      <xdr:rowOff>190500</xdr:rowOff>
    </xdr:from>
    <xdr:to>
      <xdr:col>38</xdr:col>
      <xdr:colOff>0</xdr:colOff>
      <xdr:row>41</xdr:row>
      <xdr:rowOff>28575</xdr:rowOff>
    </xdr:to>
    <xdr:sp>
      <xdr:nvSpPr>
        <xdr:cNvPr id="391" name="Line 724"/>
        <xdr:cNvSpPr>
          <a:spLocks/>
        </xdr:cNvSpPr>
      </xdr:nvSpPr>
      <xdr:spPr>
        <a:xfrm>
          <a:off x="12563475" y="762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190500</xdr:rowOff>
    </xdr:from>
    <xdr:to>
      <xdr:col>38</xdr:col>
      <xdr:colOff>0</xdr:colOff>
      <xdr:row>42</xdr:row>
      <xdr:rowOff>28575</xdr:rowOff>
    </xdr:to>
    <xdr:sp>
      <xdr:nvSpPr>
        <xdr:cNvPr id="392" name="Line 724"/>
        <xdr:cNvSpPr>
          <a:spLocks/>
        </xdr:cNvSpPr>
      </xdr:nvSpPr>
      <xdr:spPr>
        <a:xfrm>
          <a:off x="12563475" y="782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42</xdr:row>
      <xdr:rowOff>190500</xdr:rowOff>
    </xdr:from>
    <xdr:to>
      <xdr:col>38</xdr:col>
      <xdr:colOff>0</xdr:colOff>
      <xdr:row>43</xdr:row>
      <xdr:rowOff>28575</xdr:rowOff>
    </xdr:to>
    <xdr:sp>
      <xdr:nvSpPr>
        <xdr:cNvPr id="393" name="Line 724"/>
        <xdr:cNvSpPr>
          <a:spLocks/>
        </xdr:cNvSpPr>
      </xdr:nvSpPr>
      <xdr:spPr>
        <a:xfrm>
          <a:off x="12563475" y="801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43</xdr:row>
      <xdr:rowOff>190500</xdr:rowOff>
    </xdr:from>
    <xdr:to>
      <xdr:col>38</xdr:col>
      <xdr:colOff>0</xdr:colOff>
      <xdr:row>44</xdr:row>
      <xdr:rowOff>28575</xdr:rowOff>
    </xdr:to>
    <xdr:sp>
      <xdr:nvSpPr>
        <xdr:cNvPr id="394" name="Line 724"/>
        <xdr:cNvSpPr>
          <a:spLocks/>
        </xdr:cNvSpPr>
      </xdr:nvSpPr>
      <xdr:spPr>
        <a:xfrm>
          <a:off x="12563475" y="820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44</xdr:row>
      <xdr:rowOff>190500</xdr:rowOff>
    </xdr:from>
    <xdr:to>
      <xdr:col>38</xdr:col>
      <xdr:colOff>0</xdr:colOff>
      <xdr:row>45</xdr:row>
      <xdr:rowOff>28575</xdr:rowOff>
    </xdr:to>
    <xdr:sp>
      <xdr:nvSpPr>
        <xdr:cNvPr id="395" name="Line 724"/>
        <xdr:cNvSpPr>
          <a:spLocks/>
        </xdr:cNvSpPr>
      </xdr:nvSpPr>
      <xdr:spPr>
        <a:xfrm>
          <a:off x="12563475" y="839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45</xdr:row>
      <xdr:rowOff>190500</xdr:rowOff>
    </xdr:from>
    <xdr:to>
      <xdr:col>38</xdr:col>
      <xdr:colOff>0</xdr:colOff>
      <xdr:row>46</xdr:row>
      <xdr:rowOff>28575</xdr:rowOff>
    </xdr:to>
    <xdr:sp>
      <xdr:nvSpPr>
        <xdr:cNvPr id="396" name="Line 724"/>
        <xdr:cNvSpPr>
          <a:spLocks/>
        </xdr:cNvSpPr>
      </xdr:nvSpPr>
      <xdr:spPr>
        <a:xfrm>
          <a:off x="12563475" y="858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190500</xdr:rowOff>
    </xdr:from>
    <xdr:to>
      <xdr:col>38</xdr:col>
      <xdr:colOff>0</xdr:colOff>
      <xdr:row>47</xdr:row>
      <xdr:rowOff>28575</xdr:rowOff>
    </xdr:to>
    <xdr:sp>
      <xdr:nvSpPr>
        <xdr:cNvPr id="397" name="Line 724"/>
        <xdr:cNvSpPr>
          <a:spLocks/>
        </xdr:cNvSpPr>
      </xdr:nvSpPr>
      <xdr:spPr>
        <a:xfrm>
          <a:off x="12563475" y="877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47</xdr:row>
      <xdr:rowOff>190500</xdr:rowOff>
    </xdr:from>
    <xdr:to>
      <xdr:col>38</xdr:col>
      <xdr:colOff>0</xdr:colOff>
      <xdr:row>48</xdr:row>
      <xdr:rowOff>28575</xdr:rowOff>
    </xdr:to>
    <xdr:sp>
      <xdr:nvSpPr>
        <xdr:cNvPr id="398" name="Line 724"/>
        <xdr:cNvSpPr>
          <a:spLocks/>
        </xdr:cNvSpPr>
      </xdr:nvSpPr>
      <xdr:spPr>
        <a:xfrm>
          <a:off x="12563475" y="896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48</xdr:row>
      <xdr:rowOff>190500</xdr:rowOff>
    </xdr:from>
    <xdr:to>
      <xdr:col>38</xdr:col>
      <xdr:colOff>0</xdr:colOff>
      <xdr:row>49</xdr:row>
      <xdr:rowOff>28575</xdr:rowOff>
    </xdr:to>
    <xdr:sp>
      <xdr:nvSpPr>
        <xdr:cNvPr id="399" name="Line 724"/>
        <xdr:cNvSpPr>
          <a:spLocks/>
        </xdr:cNvSpPr>
      </xdr:nvSpPr>
      <xdr:spPr>
        <a:xfrm>
          <a:off x="12563475" y="915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49</xdr:row>
      <xdr:rowOff>190500</xdr:rowOff>
    </xdr:from>
    <xdr:to>
      <xdr:col>38</xdr:col>
      <xdr:colOff>0</xdr:colOff>
      <xdr:row>50</xdr:row>
      <xdr:rowOff>28575</xdr:rowOff>
    </xdr:to>
    <xdr:sp>
      <xdr:nvSpPr>
        <xdr:cNvPr id="400" name="Line 724"/>
        <xdr:cNvSpPr>
          <a:spLocks/>
        </xdr:cNvSpPr>
      </xdr:nvSpPr>
      <xdr:spPr>
        <a:xfrm>
          <a:off x="12563475" y="9344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50</xdr:row>
      <xdr:rowOff>190500</xdr:rowOff>
    </xdr:from>
    <xdr:to>
      <xdr:col>38</xdr:col>
      <xdr:colOff>0</xdr:colOff>
      <xdr:row>51</xdr:row>
      <xdr:rowOff>28575</xdr:rowOff>
    </xdr:to>
    <xdr:sp>
      <xdr:nvSpPr>
        <xdr:cNvPr id="401" name="Line 724"/>
        <xdr:cNvSpPr>
          <a:spLocks/>
        </xdr:cNvSpPr>
      </xdr:nvSpPr>
      <xdr:spPr>
        <a:xfrm>
          <a:off x="12563475" y="953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51</xdr:row>
      <xdr:rowOff>190500</xdr:rowOff>
    </xdr:from>
    <xdr:to>
      <xdr:col>38</xdr:col>
      <xdr:colOff>0</xdr:colOff>
      <xdr:row>52</xdr:row>
      <xdr:rowOff>28575</xdr:rowOff>
    </xdr:to>
    <xdr:sp>
      <xdr:nvSpPr>
        <xdr:cNvPr id="402" name="Line 724"/>
        <xdr:cNvSpPr>
          <a:spLocks/>
        </xdr:cNvSpPr>
      </xdr:nvSpPr>
      <xdr:spPr>
        <a:xfrm>
          <a:off x="12563475" y="972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52</xdr:row>
      <xdr:rowOff>190500</xdr:rowOff>
    </xdr:from>
    <xdr:to>
      <xdr:col>38</xdr:col>
      <xdr:colOff>0</xdr:colOff>
      <xdr:row>53</xdr:row>
      <xdr:rowOff>28575</xdr:rowOff>
    </xdr:to>
    <xdr:sp>
      <xdr:nvSpPr>
        <xdr:cNvPr id="403" name="Line 724"/>
        <xdr:cNvSpPr>
          <a:spLocks/>
        </xdr:cNvSpPr>
      </xdr:nvSpPr>
      <xdr:spPr>
        <a:xfrm>
          <a:off x="12563475" y="991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53</xdr:row>
      <xdr:rowOff>190500</xdr:rowOff>
    </xdr:from>
    <xdr:to>
      <xdr:col>38</xdr:col>
      <xdr:colOff>0</xdr:colOff>
      <xdr:row>54</xdr:row>
      <xdr:rowOff>28575</xdr:rowOff>
    </xdr:to>
    <xdr:sp>
      <xdr:nvSpPr>
        <xdr:cNvPr id="404" name="Line 724"/>
        <xdr:cNvSpPr>
          <a:spLocks/>
        </xdr:cNvSpPr>
      </xdr:nvSpPr>
      <xdr:spPr>
        <a:xfrm>
          <a:off x="12563475" y="1010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54</xdr:row>
      <xdr:rowOff>190500</xdr:rowOff>
    </xdr:from>
    <xdr:to>
      <xdr:col>38</xdr:col>
      <xdr:colOff>0</xdr:colOff>
      <xdr:row>55</xdr:row>
      <xdr:rowOff>28575</xdr:rowOff>
    </xdr:to>
    <xdr:sp>
      <xdr:nvSpPr>
        <xdr:cNvPr id="405" name="Line 724"/>
        <xdr:cNvSpPr>
          <a:spLocks/>
        </xdr:cNvSpPr>
      </xdr:nvSpPr>
      <xdr:spPr>
        <a:xfrm>
          <a:off x="12563475" y="1029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190500</xdr:rowOff>
    </xdr:from>
    <xdr:to>
      <xdr:col>38</xdr:col>
      <xdr:colOff>0</xdr:colOff>
      <xdr:row>56</xdr:row>
      <xdr:rowOff>28575</xdr:rowOff>
    </xdr:to>
    <xdr:sp>
      <xdr:nvSpPr>
        <xdr:cNvPr id="406" name="Line 724"/>
        <xdr:cNvSpPr>
          <a:spLocks/>
        </xdr:cNvSpPr>
      </xdr:nvSpPr>
      <xdr:spPr>
        <a:xfrm>
          <a:off x="12563475" y="1048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56</xdr:row>
      <xdr:rowOff>190500</xdr:rowOff>
    </xdr:from>
    <xdr:to>
      <xdr:col>38</xdr:col>
      <xdr:colOff>0</xdr:colOff>
      <xdr:row>57</xdr:row>
      <xdr:rowOff>28575</xdr:rowOff>
    </xdr:to>
    <xdr:sp>
      <xdr:nvSpPr>
        <xdr:cNvPr id="407" name="Line 724"/>
        <xdr:cNvSpPr>
          <a:spLocks/>
        </xdr:cNvSpPr>
      </xdr:nvSpPr>
      <xdr:spPr>
        <a:xfrm>
          <a:off x="12563475" y="1067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57</xdr:row>
      <xdr:rowOff>190500</xdr:rowOff>
    </xdr:from>
    <xdr:to>
      <xdr:col>38</xdr:col>
      <xdr:colOff>0</xdr:colOff>
      <xdr:row>58</xdr:row>
      <xdr:rowOff>28575</xdr:rowOff>
    </xdr:to>
    <xdr:sp>
      <xdr:nvSpPr>
        <xdr:cNvPr id="408" name="Line 724"/>
        <xdr:cNvSpPr>
          <a:spLocks/>
        </xdr:cNvSpPr>
      </xdr:nvSpPr>
      <xdr:spPr>
        <a:xfrm>
          <a:off x="12563475" y="1086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58</xdr:row>
      <xdr:rowOff>190500</xdr:rowOff>
    </xdr:from>
    <xdr:to>
      <xdr:col>38</xdr:col>
      <xdr:colOff>0</xdr:colOff>
      <xdr:row>59</xdr:row>
      <xdr:rowOff>28575</xdr:rowOff>
    </xdr:to>
    <xdr:sp>
      <xdr:nvSpPr>
        <xdr:cNvPr id="409" name="Line 724"/>
        <xdr:cNvSpPr>
          <a:spLocks/>
        </xdr:cNvSpPr>
      </xdr:nvSpPr>
      <xdr:spPr>
        <a:xfrm>
          <a:off x="12563475" y="1105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190500</xdr:rowOff>
    </xdr:from>
    <xdr:to>
      <xdr:col>38</xdr:col>
      <xdr:colOff>0</xdr:colOff>
      <xdr:row>60</xdr:row>
      <xdr:rowOff>28575</xdr:rowOff>
    </xdr:to>
    <xdr:sp>
      <xdr:nvSpPr>
        <xdr:cNvPr id="410" name="Line 724"/>
        <xdr:cNvSpPr>
          <a:spLocks/>
        </xdr:cNvSpPr>
      </xdr:nvSpPr>
      <xdr:spPr>
        <a:xfrm>
          <a:off x="12563475" y="1124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60</xdr:row>
      <xdr:rowOff>190500</xdr:rowOff>
    </xdr:from>
    <xdr:to>
      <xdr:col>38</xdr:col>
      <xdr:colOff>0</xdr:colOff>
      <xdr:row>61</xdr:row>
      <xdr:rowOff>28575</xdr:rowOff>
    </xdr:to>
    <xdr:sp>
      <xdr:nvSpPr>
        <xdr:cNvPr id="411" name="Line 724"/>
        <xdr:cNvSpPr>
          <a:spLocks/>
        </xdr:cNvSpPr>
      </xdr:nvSpPr>
      <xdr:spPr>
        <a:xfrm>
          <a:off x="12563475" y="1143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61</xdr:row>
      <xdr:rowOff>190500</xdr:rowOff>
    </xdr:from>
    <xdr:to>
      <xdr:col>38</xdr:col>
      <xdr:colOff>0</xdr:colOff>
      <xdr:row>62</xdr:row>
      <xdr:rowOff>28575</xdr:rowOff>
    </xdr:to>
    <xdr:sp>
      <xdr:nvSpPr>
        <xdr:cNvPr id="412" name="Line 724"/>
        <xdr:cNvSpPr>
          <a:spLocks/>
        </xdr:cNvSpPr>
      </xdr:nvSpPr>
      <xdr:spPr>
        <a:xfrm>
          <a:off x="12563475" y="1163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62</xdr:row>
      <xdr:rowOff>190500</xdr:rowOff>
    </xdr:from>
    <xdr:to>
      <xdr:col>38</xdr:col>
      <xdr:colOff>0</xdr:colOff>
      <xdr:row>63</xdr:row>
      <xdr:rowOff>28575</xdr:rowOff>
    </xdr:to>
    <xdr:sp>
      <xdr:nvSpPr>
        <xdr:cNvPr id="413" name="Line 724"/>
        <xdr:cNvSpPr>
          <a:spLocks/>
        </xdr:cNvSpPr>
      </xdr:nvSpPr>
      <xdr:spPr>
        <a:xfrm>
          <a:off x="12563475" y="1182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63</xdr:row>
      <xdr:rowOff>190500</xdr:rowOff>
    </xdr:from>
    <xdr:to>
      <xdr:col>38</xdr:col>
      <xdr:colOff>0</xdr:colOff>
      <xdr:row>64</xdr:row>
      <xdr:rowOff>28575</xdr:rowOff>
    </xdr:to>
    <xdr:sp>
      <xdr:nvSpPr>
        <xdr:cNvPr id="414" name="Line 724"/>
        <xdr:cNvSpPr>
          <a:spLocks/>
        </xdr:cNvSpPr>
      </xdr:nvSpPr>
      <xdr:spPr>
        <a:xfrm>
          <a:off x="12563475" y="1201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190500</xdr:rowOff>
    </xdr:from>
    <xdr:to>
      <xdr:col>38</xdr:col>
      <xdr:colOff>0</xdr:colOff>
      <xdr:row>65</xdr:row>
      <xdr:rowOff>28575</xdr:rowOff>
    </xdr:to>
    <xdr:sp>
      <xdr:nvSpPr>
        <xdr:cNvPr id="415" name="Line 724"/>
        <xdr:cNvSpPr>
          <a:spLocks/>
        </xdr:cNvSpPr>
      </xdr:nvSpPr>
      <xdr:spPr>
        <a:xfrm>
          <a:off x="12563475" y="1220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65</xdr:row>
      <xdr:rowOff>190500</xdr:rowOff>
    </xdr:from>
    <xdr:to>
      <xdr:col>38</xdr:col>
      <xdr:colOff>0</xdr:colOff>
      <xdr:row>66</xdr:row>
      <xdr:rowOff>28575</xdr:rowOff>
    </xdr:to>
    <xdr:sp>
      <xdr:nvSpPr>
        <xdr:cNvPr id="416" name="Line 724"/>
        <xdr:cNvSpPr>
          <a:spLocks/>
        </xdr:cNvSpPr>
      </xdr:nvSpPr>
      <xdr:spPr>
        <a:xfrm>
          <a:off x="12563475" y="1239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66</xdr:row>
      <xdr:rowOff>190500</xdr:rowOff>
    </xdr:from>
    <xdr:to>
      <xdr:col>38</xdr:col>
      <xdr:colOff>0</xdr:colOff>
      <xdr:row>67</xdr:row>
      <xdr:rowOff>28575</xdr:rowOff>
    </xdr:to>
    <xdr:sp>
      <xdr:nvSpPr>
        <xdr:cNvPr id="417" name="Line 724"/>
        <xdr:cNvSpPr>
          <a:spLocks/>
        </xdr:cNvSpPr>
      </xdr:nvSpPr>
      <xdr:spPr>
        <a:xfrm>
          <a:off x="12563475" y="1258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67</xdr:row>
      <xdr:rowOff>190500</xdr:rowOff>
    </xdr:from>
    <xdr:to>
      <xdr:col>38</xdr:col>
      <xdr:colOff>0</xdr:colOff>
      <xdr:row>68</xdr:row>
      <xdr:rowOff>28575</xdr:rowOff>
    </xdr:to>
    <xdr:sp>
      <xdr:nvSpPr>
        <xdr:cNvPr id="418" name="Line 724"/>
        <xdr:cNvSpPr>
          <a:spLocks/>
        </xdr:cNvSpPr>
      </xdr:nvSpPr>
      <xdr:spPr>
        <a:xfrm>
          <a:off x="12563475" y="1277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68</xdr:row>
      <xdr:rowOff>190500</xdr:rowOff>
    </xdr:from>
    <xdr:to>
      <xdr:col>38</xdr:col>
      <xdr:colOff>0</xdr:colOff>
      <xdr:row>69</xdr:row>
      <xdr:rowOff>28575</xdr:rowOff>
    </xdr:to>
    <xdr:sp>
      <xdr:nvSpPr>
        <xdr:cNvPr id="419" name="Line 724"/>
        <xdr:cNvSpPr>
          <a:spLocks/>
        </xdr:cNvSpPr>
      </xdr:nvSpPr>
      <xdr:spPr>
        <a:xfrm>
          <a:off x="12563475" y="1296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21</xdr:col>
      <xdr:colOff>9525</xdr:colOff>
      <xdr:row>30</xdr:row>
      <xdr:rowOff>19050</xdr:rowOff>
    </xdr:from>
    <xdr:to>
      <xdr:col>21</xdr:col>
      <xdr:colOff>419100</xdr:colOff>
      <xdr:row>30</xdr:row>
      <xdr:rowOff>171450</xdr:rowOff>
    </xdr:to>
    <xdr:pic>
      <xdr:nvPicPr>
        <xdr:cNvPr id="420" name="圖片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95675" y="5553075"/>
          <a:ext cx="409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31</xdr:row>
      <xdr:rowOff>28575</xdr:rowOff>
    </xdr:from>
    <xdr:to>
      <xdr:col>22</xdr:col>
      <xdr:colOff>9525</xdr:colOff>
      <xdr:row>31</xdr:row>
      <xdr:rowOff>190500</xdr:rowOff>
    </xdr:to>
    <xdr:pic>
      <xdr:nvPicPr>
        <xdr:cNvPr id="421" name="圖片 4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05200" y="5753100"/>
          <a:ext cx="4191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32</xdr:row>
      <xdr:rowOff>19050</xdr:rowOff>
    </xdr:from>
    <xdr:to>
      <xdr:col>22</xdr:col>
      <xdr:colOff>9525</xdr:colOff>
      <xdr:row>32</xdr:row>
      <xdr:rowOff>180975</xdr:rowOff>
    </xdr:to>
    <xdr:pic>
      <xdr:nvPicPr>
        <xdr:cNvPr id="422" name="圖片 4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05200" y="5934075"/>
          <a:ext cx="4191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33</xdr:row>
      <xdr:rowOff>19050</xdr:rowOff>
    </xdr:from>
    <xdr:to>
      <xdr:col>21</xdr:col>
      <xdr:colOff>428625</xdr:colOff>
      <xdr:row>33</xdr:row>
      <xdr:rowOff>171450</xdr:rowOff>
    </xdr:to>
    <xdr:pic>
      <xdr:nvPicPr>
        <xdr:cNvPr id="423" name="圖片 4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95675" y="6124575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GK176"/>
  <sheetViews>
    <sheetView tabSelected="1" zoomScalePageLayoutView="0" workbookViewId="0" topLeftCell="A6">
      <selection activeCell="X7" sqref="X7"/>
    </sheetView>
  </sheetViews>
  <sheetFormatPr defaultColWidth="4.25390625" defaultRowHeight="15.75"/>
  <cols>
    <col min="1" max="1" width="1.75390625" style="1" customWidth="1"/>
    <col min="2" max="2" width="4.75390625" style="61" customWidth="1"/>
    <col min="3" max="3" width="10.125" style="61" hidden="1" customWidth="1"/>
    <col min="4" max="6" width="4.25390625" style="61" hidden="1" customWidth="1"/>
    <col min="7" max="7" width="10.875" style="61" hidden="1" customWidth="1"/>
    <col min="8" max="13" width="4.25390625" style="61" hidden="1" customWidth="1"/>
    <col min="14" max="15" width="3.875" style="1" customWidth="1"/>
    <col min="16" max="16" width="4.625" style="1" customWidth="1"/>
    <col min="17" max="17" width="3.875" style="1" customWidth="1"/>
    <col min="18" max="18" width="6.125" style="1" customWidth="1"/>
    <col min="19" max="24" width="5.625" style="1" customWidth="1"/>
    <col min="25" max="25" width="35.625" style="1" customWidth="1"/>
    <col min="26" max="39" width="5.125" style="1" customWidth="1"/>
    <col min="40" max="40" width="0.875" style="1" customWidth="1"/>
    <col min="41" max="41" width="4.25390625" style="1" hidden="1" customWidth="1"/>
    <col min="42" max="42" width="11.75390625" style="2" hidden="1" customWidth="1"/>
    <col min="43" max="43" width="10.625" style="2" hidden="1" customWidth="1"/>
    <col min="44" max="44" width="10.875" style="1" hidden="1" customWidth="1"/>
    <col min="45" max="45" width="7.625" style="1" hidden="1" customWidth="1"/>
    <col min="46" max="46" width="7.00390625" style="1" hidden="1" customWidth="1"/>
    <col min="47" max="47" width="6.625" style="1" hidden="1" customWidth="1"/>
    <col min="48" max="48" width="76.125" style="1" hidden="1" customWidth="1"/>
    <col min="49" max="49" width="14.125" style="1" hidden="1" customWidth="1"/>
    <col min="50" max="50" width="12.25390625" style="1" hidden="1" customWidth="1"/>
    <col min="51" max="51" width="19.25390625" style="1" hidden="1" customWidth="1"/>
    <col min="52" max="52" width="4.25390625" style="1" hidden="1" customWidth="1"/>
    <col min="53" max="53" width="11.00390625" style="1" hidden="1" customWidth="1"/>
    <col min="54" max="54" width="14.875" style="1" hidden="1" customWidth="1"/>
    <col min="55" max="55" width="23.25390625" style="1" hidden="1" customWidth="1"/>
    <col min="56" max="58" width="4.25390625" style="1" hidden="1" customWidth="1"/>
    <col min="59" max="59" width="118.375" style="1" hidden="1" customWidth="1"/>
    <col min="60" max="60" width="3.50390625" style="3" hidden="1" customWidth="1"/>
    <col min="61" max="68" width="3.75390625" style="3" hidden="1" customWidth="1"/>
    <col min="69" max="69" width="2.00390625" style="1" customWidth="1"/>
    <col min="70" max="79" width="5.125" style="1" customWidth="1"/>
    <col min="80" max="84" width="9.625" style="1" hidden="1" customWidth="1"/>
    <col min="85" max="88" width="4.25390625" style="1" hidden="1" customWidth="1"/>
    <col min="89" max="89" width="4.50390625" style="2" hidden="1" customWidth="1"/>
    <col min="90" max="90" width="4.25390625" style="1" hidden="1" customWidth="1"/>
    <col min="91" max="91" width="4.25390625" style="9" hidden="1" customWidth="1"/>
    <col min="92" max="92" width="7.50390625" style="2" hidden="1" customWidth="1"/>
    <col min="93" max="93" width="4.25390625" style="185" hidden="1" customWidth="1"/>
    <col min="94" max="94" width="4.25390625" style="2" hidden="1" customWidth="1"/>
    <col min="95" max="95" width="7.625" style="2" hidden="1" customWidth="1"/>
    <col min="96" max="96" width="4.25390625" style="185" hidden="1" customWidth="1"/>
    <col min="97" max="97" width="4.25390625" style="2" hidden="1" customWidth="1"/>
    <col min="98" max="98" width="6.375" style="2" hidden="1" customWidth="1"/>
    <col min="99" max="99" width="8.625" style="2" hidden="1" customWidth="1"/>
    <col min="100" max="100" width="4.25390625" style="2" hidden="1" customWidth="1"/>
    <col min="101" max="101" width="5.75390625" style="2" hidden="1" customWidth="1"/>
    <col min="102" max="102" width="7.75390625" style="2" hidden="1" customWidth="1"/>
    <col min="103" max="106" width="4.25390625" style="2" hidden="1" customWidth="1"/>
    <col min="107" max="115" width="6.375" style="2" hidden="1" customWidth="1"/>
    <col min="116" max="116" width="6.25390625" style="2" hidden="1" customWidth="1"/>
    <col min="117" max="129" width="6.375" style="2" hidden="1" customWidth="1"/>
    <col min="130" max="130" width="9.625" style="2" hidden="1" customWidth="1"/>
    <col min="131" max="131" width="20.00390625" style="10" hidden="1" customWidth="1"/>
    <col min="132" max="132" width="8.375" style="1" hidden="1" customWidth="1"/>
    <col min="133" max="134" width="7.25390625" style="1" hidden="1" customWidth="1"/>
    <col min="135" max="135" width="8.75390625" style="1" hidden="1" customWidth="1"/>
    <col min="136" max="136" width="7.25390625" style="1" hidden="1" customWidth="1"/>
    <col min="137" max="137" width="9.50390625" style="1" hidden="1" customWidth="1"/>
    <col min="138" max="139" width="7.25390625" style="1" hidden="1" customWidth="1"/>
    <col min="140" max="140" width="8.50390625" style="11" hidden="1" customWidth="1"/>
    <col min="141" max="141" width="8.125" style="3" hidden="1" customWidth="1"/>
    <col min="142" max="142" width="4.25390625" style="3" hidden="1" customWidth="1"/>
    <col min="143" max="145" width="4.25390625" style="1" hidden="1" customWidth="1"/>
    <col min="146" max="146" width="6.25390625" style="216" hidden="1" customWidth="1"/>
    <col min="147" max="148" width="4.25390625" style="216" hidden="1" customWidth="1"/>
    <col min="149" max="158" width="4.25390625" style="1" hidden="1" customWidth="1"/>
    <col min="159" max="159" width="4.25390625" style="2" hidden="1" customWidth="1"/>
    <col min="160" max="166" width="4.25390625" style="9" hidden="1" customWidth="1"/>
    <col min="167" max="168" width="4.25390625" style="326" hidden="1" customWidth="1"/>
    <col min="169" max="169" width="5.25390625" style="326" hidden="1" customWidth="1"/>
    <col min="170" max="170" width="6.50390625" style="326" hidden="1" customWidth="1"/>
    <col min="171" max="171" width="4.25390625" style="1" hidden="1" customWidth="1"/>
    <col min="172" max="172" width="4.50390625" style="326" hidden="1" customWidth="1"/>
    <col min="173" max="175" width="4.25390625" style="326" hidden="1" customWidth="1"/>
    <col min="176" max="187" width="4.25390625" style="1" hidden="1" customWidth="1"/>
    <col min="188" max="188" width="4.25390625" style="2" hidden="1" customWidth="1"/>
    <col min="189" max="189" width="5.625" style="2" hidden="1" customWidth="1"/>
    <col min="190" max="190" width="42.875" style="2" hidden="1" customWidth="1"/>
    <col min="191" max="191" width="18.125" style="1" hidden="1" customWidth="1"/>
    <col min="192" max="192" width="16.50390625" style="9" hidden="1" customWidth="1"/>
    <col min="193" max="193" width="32.00390625" style="1" hidden="1" customWidth="1"/>
    <col min="194" max="208" width="4.25390625" style="1" hidden="1" customWidth="1"/>
    <col min="209" max="16384" width="4.25390625" style="1" customWidth="1"/>
  </cols>
  <sheetData>
    <row r="1" spans="1:158" ht="29.25" customHeight="1" thickBot="1">
      <c r="A1" s="143"/>
      <c r="B1" s="582" t="s">
        <v>160</v>
      </c>
      <c r="C1" s="583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4"/>
      <c r="AK1" s="584"/>
      <c r="AL1" s="584"/>
      <c r="AM1" s="584"/>
      <c r="AN1" s="585"/>
      <c r="BI1" s="4"/>
      <c r="BJ1" s="4"/>
      <c r="BK1" s="4"/>
      <c r="BL1" s="4"/>
      <c r="BM1" s="4"/>
      <c r="BN1" s="4"/>
      <c r="BO1" s="4"/>
      <c r="BP1" s="4"/>
      <c r="BQ1" s="5"/>
      <c r="BR1" s="191"/>
      <c r="BS1" s="191"/>
      <c r="BT1" s="191"/>
      <c r="BU1" s="191"/>
      <c r="BV1" s="192"/>
      <c r="BW1" s="192"/>
      <c r="BX1" s="193"/>
      <c r="BY1" s="193"/>
      <c r="BZ1" s="193"/>
      <c r="CA1" s="193"/>
      <c r="CB1" s="6"/>
      <c r="CC1" s="6"/>
      <c r="CD1" s="6"/>
      <c r="CE1" s="6"/>
      <c r="CF1" s="6"/>
      <c r="CG1" s="6"/>
      <c r="CH1" s="6"/>
      <c r="CI1" s="6"/>
      <c r="CJ1" s="6"/>
      <c r="CK1" s="183"/>
      <c r="CL1" s="8"/>
      <c r="CR1" s="185">
        <f>IF($U$9+$U$10+$W$9+$W$10=0,$U$8,IF(AND($U$9-$U$10=0,$W$9-$W$10=0),$U$8,CL31))</f>
        <v>12</v>
      </c>
      <c r="DZ1" s="104" t="s">
        <v>92</v>
      </c>
      <c r="EM1" s="8"/>
      <c r="EN1" s="8"/>
      <c r="EO1" s="8"/>
      <c r="EP1" s="212"/>
      <c r="EQ1" s="212"/>
      <c r="ER1" s="212"/>
      <c r="ES1" s="8"/>
      <c r="ET1" s="8"/>
      <c r="EU1" s="201"/>
      <c r="EV1" s="8"/>
      <c r="EW1" s="8"/>
      <c r="EX1" s="8"/>
      <c r="EY1" s="8"/>
      <c r="EZ1" s="8"/>
      <c r="FA1" s="8"/>
      <c r="FB1" s="8"/>
    </row>
    <row r="2" spans="1:158" ht="14.25" customHeight="1">
      <c r="A2" s="143"/>
      <c r="B2" s="12"/>
      <c r="C2" s="12"/>
      <c r="D2" s="12"/>
      <c r="E2" s="12"/>
      <c r="F2" s="12"/>
      <c r="G2" s="12"/>
      <c r="H2" s="12"/>
      <c r="I2" s="12"/>
      <c r="J2" s="13"/>
      <c r="K2" s="14"/>
      <c r="L2" s="14"/>
      <c r="M2" s="14"/>
      <c r="N2" s="15"/>
      <c r="O2" s="16"/>
      <c r="P2" s="16"/>
      <c r="Q2" s="603" t="s">
        <v>106</v>
      </c>
      <c r="R2" s="604"/>
      <c r="S2" s="604"/>
      <c r="T2" s="604"/>
      <c r="U2" s="604"/>
      <c r="V2" s="604"/>
      <c r="W2" s="604"/>
      <c r="X2" s="604"/>
      <c r="Y2" s="604"/>
      <c r="Z2" s="60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7"/>
      <c r="AO2" s="18"/>
      <c r="BI2" s="4"/>
      <c r="BJ2" s="4"/>
      <c r="BK2" s="4"/>
      <c r="BL2" s="4"/>
      <c r="BM2" s="4"/>
      <c r="BN2" s="4"/>
      <c r="BO2" s="4"/>
      <c r="BP2" s="4"/>
      <c r="BQ2" s="5"/>
      <c r="BR2" s="191"/>
      <c r="BS2" s="191"/>
      <c r="BT2" s="191"/>
      <c r="BU2" s="191"/>
      <c r="BV2" s="192"/>
      <c r="BW2" s="192"/>
      <c r="BX2" s="194"/>
      <c r="BY2" s="195"/>
      <c r="BZ2" s="195"/>
      <c r="CA2" s="195"/>
      <c r="CB2" s="19"/>
      <c r="CC2" s="19"/>
      <c r="CD2" s="19"/>
      <c r="CE2" s="19"/>
      <c r="CF2" s="19"/>
      <c r="CG2" s="19"/>
      <c r="CH2" s="19"/>
      <c r="CI2" s="19"/>
      <c r="CJ2" s="19"/>
      <c r="CK2" s="183"/>
      <c r="CL2" s="8"/>
      <c r="DZ2" s="185" t="str">
        <f>IF(MID(DZ5,1,3)&amp;"."&amp;U7&amp;"."&amp;W7=DZ5,"."&amp;U7&amp;"."&amp;W7,"."&amp;AF9&amp;"."&amp;AG9)</f>
        <v>.12.13</v>
      </c>
      <c r="EA2" s="10" t="s">
        <v>75</v>
      </c>
      <c r="EB2" s="9"/>
      <c r="EC2" s="512"/>
      <c r="ED2" s="512"/>
      <c r="EE2" s="9"/>
      <c r="EF2" s="9"/>
      <c r="EG2" s="9"/>
      <c r="EH2" s="9"/>
      <c r="EI2" s="9"/>
      <c r="EJ2" s="21" t="s">
        <v>13</v>
      </c>
      <c r="EK2" s="471" t="s">
        <v>14</v>
      </c>
      <c r="EL2" s="415"/>
      <c r="EM2" s="8"/>
      <c r="EN2" s="8"/>
      <c r="EO2" s="8"/>
      <c r="EP2" s="212"/>
      <c r="EQ2" s="212"/>
      <c r="ER2" s="212"/>
      <c r="ES2" s="8"/>
      <c r="ET2" s="8"/>
      <c r="EU2" s="201"/>
      <c r="EV2" s="8"/>
      <c r="EW2" s="8"/>
      <c r="EX2" s="8"/>
      <c r="EY2" s="8"/>
      <c r="EZ2" s="8"/>
      <c r="FA2" s="8"/>
      <c r="FB2" s="8"/>
    </row>
    <row r="3" spans="1:192" s="29" customFormat="1" ht="1.5" customHeight="1">
      <c r="A3" s="144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  <c r="T3" s="24"/>
      <c r="U3" s="24"/>
      <c r="V3" s="24"/>
      <c r="W3" s="25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6"/>
      <c r="AP3" s="26"/>
      <c r="AQ3" s="26"/>
      <c r="AR3" s="26"/>
      <c r="AS3" s="26"/>
      <c r="AT3" s="27"/>
      <c r="AU3" s="27"/>
      <c r="AV3" s="28"/>
      <c r="AW3" s="28"/>
      <c r="AX3" s="28"/>
      <c r="AY3" s="28"/>
      <c r="AZ3" s="28"/>
      <c r="BA3" s="28"/>
      <c r="BB3" s="28"/>
      <c r="BC3" s="28"/>
      <c r="BD3" s="28"/>
      <c r="BG3" s="30"/>
      <c r="BH3" s="31"/>
      <c r="BI3" s="32"/>
      <c r="BJ3" s="32"/>
      <c r="BK3" s="32"/>
      <c r="BL3" s="32"/>
      <c r="BM3" s="32"/>
      <c r="BN3" s="32"/>
      <c r="BO3" s="32"/>
      <c r="BP3" s="32"/>
      <c r="BQ3" s="33"/>
      <c r="BR3" s="191"/>
      <c r="BS3" s="191"/>
      <c r="BT3" s="191"/>
      <c r="BU3" s="191"/>
      <c r="BV3" s="196"/>
      <c r="BW3" s="196"/>
      <c r="BX3" s="196"/>
      <c r="BY3" s="196"/>
      <c r="BZ3" s="196"/>
      <c r="CA3" s="196"/>
      <c r="CB3" s="34"/>
      <c r="CC3" s="34"/>
      <c r="CD3" s="34"/>
      <c r="CE3" s="34"/>
      <c r="CF3" s="34"/>
      <c r="CG3" s="34"/>
      <c r="CH3" s="34"/>
      <c r="CI3" s="34"/>
      <c r="CJ3" s="34"/>
      <c r="CK3" s="183"/>
      <c r="CL3" s="34"/>
      <c r="CM3" s="20"/>
      <c r="CN3" s="2"/>
      <c r="CO3" s="185"/>
      <c r="CP3" s="2"/>
      <c r="CQ3" s="2"/>
      <c r="CR3" s="185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10"/>
      <c r="EB3" s="20"/>
      <c r="EC3" s="20"/>
      <c r="ED3" s="20"/>
      <c r="EE3" s="20"/>
      <c r="EF3" s="20"/>
      <c r="EG3" s="20"/>
      <c r="EH3" s="20"/>
      <c r="EI3" s="20"/>
      <c r="EJ3" s="21"/>
      <c r="EK3" s="10"/>
      <c r="EL3" s="3"/>
      <c r="EM3" s="34"/>
      <c r="EN3" s="34"/>
      <c r="EO3" s="34"/>
      <c r="EP3" s="213"/>
      <c r="EQ3" s="213"/>
      <c r="ER3" s="213"/>
      <c r="ES3" s="34"/>
      <c r="ET3" s="34"/>
      <c r="EU3" s="202"/>
      <c r="EV3" s="34"/>
      <c r="EW3" s="34"/>
      <c r="EX3" s="34"/>
      <c r="EY3" s="34"/>
      <c r="EZ3" s="34"/>
      <c r="FA3" s="34"/>
      <c r="FB3" s="34"/>
      <c r="FC3" s="2"/>
      <c r="FD3" s="20"/>
      <c r="FE3" s="20"/>
      <c r="FF3" s="20"/>
      <c r="FG3" s="20"/>
      <c r="FH3" s="20"/>
      <c r="FI3" s="20"/>
      <c r="FJ3" s="20"/>
      <c r="FK3" s="326"/>
      <c r="FL3" s="326"/>
      <c r="FM3" s="326"/>
      <c r="FN3" s="326"/>
      <c r="FP3" s="326"/>
      <c r="FQ3" s="326"/>
      <c r="FR3" s="326"/>
      <c r="FS3" s="326"/>
      <c r="GF3" s="2"/>
      <c r="GG3" s="2"/>
      <c r="GH3" s="2"/>
      <c r="GJ3" s="20"/>
    </row>
    <row r="4" spans="1:192" s="29" customFormat="1" ht="3.75" customHeight="1" thickBot="1">
      <c r="A4" s="144"/>
      <c r="B4" s="150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36"/>
      <c r="O4" s="36"/>
      <c r="P4" s="36"/>
      <c r="Q4" s="36"/>
      <c r="R4" s="36"/>
      <c r="S4" s="36"/>
      <c r="T4" s="36"/>
      <c r="U4" s="36"/>
      <c r="V4" s="36"/>
      <c r="W4" s="37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26"/>
      <c r="AP4" s="26"/>
      <c r="AQ4" s="26"/>
      <c r="AR4" s="26"/>
      <c r="AS4" s="26"/>
      <c r="AT4" s="27"/>
      <c r="AU4" s="27"/>
      <c r="AV4" s="28"/>
      <c r="AW4" s="28"/>
      <c r="AX4" s="28"/>
      <c r="AY4" s="28"/>
      <c r="AZ4" s="28"/>
      <c r="BA4" s="28"/>
      <c r="BB4" s="28"/>
      <c r="BC4" s="28"/>
      <c r="BD4" s="28"/>
      <c r="BG4" s="30"/>
      <c r="BH4" s="31"/>
      <c r="BI4" s="32"/>
      <c r="BJ4" s="32"/>
      <c r="BK4" s="32"/>
      <c r="BL4" s="32"/>
      <c r="BM4" s="32"/>
      <c r="BN4" s="32"/>
      <c r="BO4" s="32"/>
      <c r="BP4" s="32"/>
      <c r="BQ4" s="33"/>
      <c r="BR4" s="191"/>
      <c r="BS4" s="191"/>
      <c r="BT4" s="191"/>
      <c r="BU4" s="191"/>
      <c r="BV4" s="196"/>
      <c r="BW4" s="196"/>
      <c r="BX4" s="196"/>
      <c r="BY4" s="196"/>
      <c r="BZ4" s="196"/>
      <c r="CA4" s="196"/>
      <c r="CB4" s="34"/>
      <c r="CC4" s="34"/>
      <c r="CD4" s="34"/>
      <c r="CE4" s="34"/>
      <c r="CF4" s="34"/>
      <c r="CG4" s="34"/>
      <c r="CH4" s="34"/>
      <c r="CI4" s="34"/>
      <c r="CJ4" s="34"/>
      <c r="CK4" s="183"/>
      <c r="CL4" s="34"/>
      <c r="CM4" s="20"/>
      <c r="CN4" s="2"/>
      <c r="CO4" s="185"/>
      <c r="CP4" s="2"/>
      <c r="CQ4" s="2"/>
      <c r="CR4" s="185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10"/>
      <c r="EJ4" s="11"/>
      <c r="EK4" s="39"/>
      <c r="EL4" s="3"/>
      <c r="EM4" s="34"/>
      <c r="EN4" s="34"/>
      <c r="EO4" s="34"/>
      <c r="EP4" s="213"/>
      <c r="EQ4" s="213"/>
      <c r="ER4" s="213"/>
      <c r="ES4" s="34"/>
      <c r="ET4" s="34"/>
      <c r="EU4" s="202"/>
      <c r="EV4" s="34"/>
      <c r="EW4" s="34"/>
      <c r="EX4" s="34"/>
      <c r="EY4" s="34"/>
      <c r="EZ4" s="34"/>
      <c r="FA4" s="34"/>
      <c r="FB4" s="34"/>
      <c r="FC4" s="2"/>
      <c r="FD4" s="20"/>
      <c r="FE4" s="20"/>
      <c r="FF4" s="20"/>
      <c r="FG4" s="20"/>
      <c r="FH4" s="20"/>
      <c r="FI4" s="20"/>
      <c r="FJ4" s="20"/>
      <c r="FK4" s="326"/>
      <c r="FL4" s="326"/>
      <c r="FM4" s="326"/>
      <c r="FN4" s="326"/>
      <c r="FP4" s="326"/>
      <c r="FQ4" s="326"/>
      <c r="FR4" s="326"/>
      <c r="FS4" s="326"/>
      <c r="GF4" s="2"/>
      <c r="GG4" s="2"/>
      <c r="GH4" s="2"/>
      <c r="GJ4" s="20"/>
    </row>
    <row r="5" spans="1:158" ht="19.5" customHeight="1" thickBot="1" thickTop="1">
      <c r="A5" s="143"/>
      <c r="B5" s="579">
        <f>IF(AND(S5="公務人員",DATE(1911+AE9,AF9,AG9)&gt;=DATE(2018,1,1)),"×",IF(AND(S5="高中以下教師",DATE(1911+AE9,AF9,AG9)&gt;=DATE(2018,1,1)),"×",1))</f>
        <v>1</v>
      </c>
      <c r="C5" s="580"/>
      <c r="D5" s="580"/>
      <c r="E5" s="580"/>
      <c r="F5" s="580"/>
      <c r="G5" s="580"/>
      <c r="H5" s="580"/>
      <c r="I5" s="581"/>
      <c r="J5" s="40"/>
      <c r="K5" s="41"/>
      <c r="L5" s="41"/>
      <c r="M5" s="41"/>
      <c r="N5" s="483" t="s">
        <v>113</v>
      </c>
      <c r="O5" s="484"/>
      <c r="P5" s="484"/>
      <c r="Q5" s="484"/>
      <c r="R5" s="485"/>
      <c r="S5" s="586" t="s">
        <v>105</v>
      </c>
      <c r="T5" s="587"/>
      <c r="U5" s="587"/>
      <c r="V5" s="588"/>
      <c r="W5" s="42"/>
      <c r="X5" s="43"/>
      <c r="Y5" s="44"/>
      <c r="Z5" s="45" t="str">
        <f>IF(S5="公務人員",EJ5,EA5)</f>
        <v>127.12.17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7"/>
      <c r="AN5" s="48"/>
      <c r="AO5" s="49"/>
      <c r="AP5" s="50"/>
      <c r="AQ5" s="50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I5" s="4"/>
      <c r="BJ5" s="4"/>
      <c r="BK5" s="4"/>
      <c r="BL5" s="4"/>
      <c r="BM5" s="4"/>
      <c r="BN5" s="4"/>
      <c r="BO5" s="4"/>
      <c r="BP5" s="4"/>
      <c r="BQ5" s="5"/>
      <c r="BR5" s="191"/>
      <c r="BS5" s="191"/>
      <c r="BT5" s="191"/>
      <c r="BU5" s="191"/>
      <c r="BV5" s="192"/>
      <c r="BW5" s="192"/>
      <c r="BX5" s="194"/>
      <c r="BY5" s="195"/>
      <c r="BZ5" s="195"/>
      <c r="CA5" s="195"/>
      <c r="CB5" s="19"/>
      <c r="CC5" s="19"/>
      <c r="CD5" s="19"/>
      <c r="CE5" s="19"/>
      <c r="CF5" s="19"/>
      <c r="CG5" s="19"/>
      <c r="CH5" s="19"/>
      <c r="CI5" s="19"/>
      <c r="CJ5" s="19"/>
      <c r="CK5" s="183"/>
      <c r="CL5" s="8"/>
      <c r="CR5" s="513" t="s">
        <v>23</v>
      </c>
      <c r="CS5" s="513"/>
      <c r="DZ5" s="52">
        <f>CONCATENATE(DZ8,DZ9)</f>
      </c>
      <c r="EA5" s="52" t="str">
        <f>CONCATENATE(EA8,EA9)&amp;"。"</f>
        <v>128.2.1。【說明：原實際條件成就時間為50756，惟因必須配合學期而延至當學期結束之次日，始能退休生效，爰推算為128.2.1】。</v>
      </c>
      <c r="EC5" s="2"/>
      <c r="ED5" s="21"/>
      <c r="EJ5" s="52" t="str">
        <f>IF(EJ7=DATE(YEAR(EJ9),U7,W7),EK7&amp;"."&amp;U7&amp;"."&amp;W7,IF(EJ7=DATE(YEAR(EJ9),AF9,AG9),EK7&amp;"."&amp;AF9&amp;"."&amp;AG9,EK7&amp;".1.1"))</f>
        <v>127.12.17</v>
      </c>
      <c r="EK5" s="538">
        <f>CONCATENATE(EK8,EK9)</f>
      </c>
      <c r="EL5" s="539"/>
      <c r="EM5" s="8"/>
      <c r="EN5" s="8"/>
      <c r="EO5" s="8"/>
      <c r="EP5" s="212"/>
      <c r="EQ5" s="212"/>
      <c r="ER5" s="212"/>
      <c r="ES5" s="8"/>
      <c r="ET5" s="8"/>
      <c r="EU5" s="201"/>
      <c r="EV5" s="8"/>
      <c r="EW5" s="8"/>
      <c r="EX5" s="8"/>
      <c r="EY5" s="8"/>
      <c r="EZ5" s="8"/>
      <c r="FA5" s="8"/>
      <c r="FB5" s="8"/>
    </row>
    <row r="6" spans="1:192" s="29" customFormat="1" ht="5.25" customHeight="1" thickBot="1" thickTop="1">
      <c r="A6" s="144"/>
      <c r="B6" s="150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6"/>
      <c r="O6" s="36"/>
      <c r="P6" s="36"/>
      <c r="Q6" s="36"/>
      <c r="R6" s="36"/>
      <c r="S6" s="36"/>
      <c r="T6" s="36"/>
      <c r="U6" s="36"/>
      <c r="V6" s="36"/>
      <c r="W6" s="37"/>
      <c r="X6" s="38"/>
      <c r="Y6" s="35"/>
      <c r="Z6" s="35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35"/>
      <c r="AN6" s="53"/>
      <c r="AO6" s="54"/>
      <c r="AP6" s="54"/>
      <c r="AQ6" s="54"/>
      <c r="AR6" s="54"/>
      <c r="AS6" s="54"/>
      <c r="AT6" s="55"/>
      <c r="AU6" s="55"/>
      <c r="AV6" s="56"/>
      <c r="AW6" s="56"/>
      <c r="AX6" s="56"/>
      <c r="AY6" s="56"/>
      <c r="AZ6" s="56"/>
      <c r="BA6" s="56"/>
      <c r="BB6" s="56"/>
      <c r="BC6" s="56"/>
      <c r="BD6" s="56"/>
      <c r="BE6" s="57"/>
      <c r="BF6" s="57"/>
      <c r="BG6" s="58"/>
      <c r="BH6" s="31"/>
      <c r="BI6" s="32"/>
      <c r="BJ6" s="32"/>
      <c r="BK6" s="32"/>
      <c r="BL6" s="32"/>
      <c r="BM6" s="32"/>
      <c r="BN6" s="32"/>
      <c r="BO6" s="32"/>
      <c r="BP6" s="32"/>
      <c r="BQ6" s="33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/>
      <c r="CC6"/>
      <c r="CD6" s="34"/>
      <c r="CE6" s="34"/>
      <c r="CF6" s="34"/>
      <c r="CG6" s="34"/>
      <c r="CH6" s="34"/>
      <c r="CI6" s="34"/>
      <c r="CJ6" s="34"/>
      <c r="CK6" s="183"/>
      <c r="CL6" s="34"/>
      <c r="CM6" s="20"/>
      <c r="CN6" s="2"/>
      <c r="CO6" s="185"/>
      <c r="CP6" s="2"/>
      <c r="CQ6" s="2"/>
      <c r="CR6" s="513"/>
      <c r="CS6" s="513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10"/>
      <c r="EA6" s="10"/>
      <c r="EJ6" s="10" t="s">
        <v>156</v>
      </c>
      <c r="EK6" s="10"/>
      <c r="EL6" s="3"/>
      <c r="EM6" s="34"/>
      <c r="EN6" s="34"/>
      <c r="EO6" s="34"/>
      <c r="EP6" s="213"/>
      <c r="EQ6" s="213"/>
      <c r="ER6" s="213"/>
      <c r="ES6" s="34"/>
      <c r="ET6" s="34"/>
      <c r="EU6" s="202"/>
      <c r="EV6" s="34"/>
      <c r="EW6" s="34"/>
      <c r="EX6" s="34"/>
      <c r="EY6" s="34"/>
      <c r="EZ6" s="34"/>
      <c r="FA6" s="34"/>
      <c r="FB6" s="34"/>
      <c r="FC6" s="2"/>
      <c r="FD6" s="20"/>
      <c r="FE6" s="20"/>
      <c r="FF6" s="20"/>
      <c r="FG6" s="20"/>
      <c r="FH6" s="20"/>
      <c r="FI6" s="20"/>
      <c r="FJ6" s="20"/>
      <c r="FK6" s="326"/>
      <c r="FL6" s="326"/>
      <c r="FM6" s="326"/>
      <c r="FN6" s="326"/>
      <c r="FP6" s="326"/>
      <c r="FQ6" s="326"/>
      <c r="FR6" s="326"/>
      <c r="FS6" s="326"/>
      <c r="GF6" s="2"/>
      <c r="GG6" s="2"/>
      <c r="GH6" s="2"/>
      <c r="GJ6" s="20"/>
    </row>
    <row r="7" spans="1:158" ht="15.75" customHeight="1" thickBot="1" thickTop="1">
      <c r="A7" s="143"/>
      <c r="B7" s="151"/>
      <c r="N7" s="62"/>
      <c r="O7" s="456" t="s">
        <v>24</v>
      </c>
      <c r="P7" s="456"/>
      <c r="Q7" s="456"/>
      <c r="R7" s="456"/>
      <c r="S7" s="209">
        <v>62</v>
      </c>
      <c r="T7" s="63" t="s">
        <v>16</v>
      </c>
      <c r="U7" s="210">
        <v>12</v>
      </c>
      <c r="V7" s="63" t="s">
        <v>17</v>
      </c>
      <c r="W7" s="211">
        <v>17</v>
      </c>
      <c r="X7" s="64" t="s">
        <v>18</v>
      </c>
      <c r="Y7" s="184">
        <f>VALUE(LEFT(Z7,4)&amp;MID(Z7,6,2)&amp;RIGHT(Z7,2))</f>
        <v>19731217</v>
      </c>
      <c r="Z7" s="66" t="str">
        <f>IF(AND(U7&lt;10,W7&lt;10),S7+1911&amp;"/"&amp;"0"&amp;U7&amp;"/"&amp;"0"&amp;W7,IF(U7&lt;10,S7+1911&amp;"/"&amp;"0"&amp;U7&amp;"/"&amp;W7,IF(W7&lt;10,S7+1911&amp;"/"&amp;U7&amp;"/"&amp;"0"&amp;W7,S7+1911&amp;"/"&amp;U7&amp;"/"&amp;W7)))</f>
        <v>1973/12/17</v>
      </c>
      <c r="AA7" s="189"/>
      <c r="AB7" s="334"/>
      <c r="AC7" s="334"/>
      <c r="AD7" s="334"/>
      <c r="AE7" s="502" t="s">
        <v>129</v>
      </c>
      <c r="AF7" s="503"/>
      <c r="AG7" s="504"/>
      <c r="AH7" s="253"/>
      <c r="AI7" s="253"/>
      <c r="AJ7" s="253"/>
      <c r="AK7" s="253"/>
      <c r="AL7" s="253"/>
      <c r="AM7" s="189"/>
      <c r="AN7" s="67"/>
      <c r="AO7" s="68"/>
      <c r="AP7" s="68"/>
      <c r="AQ7" s="68"/>
      <c r="AR7" s="69"/>
      <c r="AS7" s="69"/>
      <c r="AT7" s="69"/>
      <c r="AU7" s="69"/>
      <c r="AV7" s="69"/>
      <c r="AW7" s="130" t="s">
        <v>71</v>
      </c>
      <c r="AX7" s="131">
        <f>VLOOKUP(65,AZ31:BB113,2,FALSE)</f>
        <v>20381231</v>
      </c>
      <c r="AY7" s="69"/>
      <c r="AZ7" s="69"/>
      <c r="BA7" s="69"/>
      <c r="BB7" s="69"/>
      <c r="BC7" s="69"/>
      <c r="BD7" s="69"/>
      <c r="BE7" s="69"/>
      <c r="BF7" s="69"/>
      <c r="BG7" s="69"/>
      <c r="BH7" s="70"/>
      <c r="BI7" s="4"/>
      <c r="BJ7" s="4"/>
      <c r="BK7" s="4"/>
      <c r="BL7" s="4"/>
      <c r="BM7" s="4"/>
      <c r="BN7" s="4"/>
      <c r="BO7" s="4"/>
      <c r="BP7" s="4"/>
      <c r="BQ7" s="5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/>
      <c r="CC7"/>
      <c r="CD7" s="71"/>
      <c r="CE7" s="71"/>
      <c r="CF7" s="71"/>
      <c r="CG7" s="71"/>
      <c r="CH7" s="71"/>
      <c r="CI7" s="71"/>
      <c r="CJ7" s="71"/>
      <c r="CK7" s="183"/>
      <c r="CL7" s="8"/>
      <c r="CR7" s="513"/>
      <c r="CS7" s="513"/>
      <c r="DU7" s="2" t="s">
        <v>98</v>
      </c>
      <c r="DV7" s="2" t="str">
        <f>"."&amp;U7&amp;"."&amp;W7</f>
        <v>.12.17</v>
      </c>
      <c r="DZ7" s="10"/>
      <c r="EJ7" s="208">
        <f>EJ9</f>
        <v>50756</v>
      </c>
      <c r="EK7" s="387">
        <f>YEAR(EJ9)-1911</f>
        <v>127</v>
      </c>
      <c r="EM7" s="8"/>
      <c r="EN7" s="8"/>
      <c r="EO7" s="8"/>
      <c r="EP7" s="212"/>
      <c r="EQ7" s="212"/>
      <c r="ER7" s="212"/>
      <c r="ES7" s="8"/>
      <c r="ET7" s="8"/>
      <c r="EU7" s="201"/>
      <c r="EV7" s="8"/>
      <c r="EW7" s="8"/>
      <c r="EX7" s="8"/>
      <c r="EY7" s="8"/>
      <c r="EZ7" s="8"/>
      <c r="FA7" s="8"/>
      <c r="FB7" s="8"/>
    </row>
    <row r="8" spans="1:158" ht="15.75" customHeight="1" thickBot="1" thickTop="1">
      <c r="A8" s="143"/>
      <c r="B8" s="151"/>
      <c r="N8" s="37"/>
      <c r="O8" s="456" t="s">
        <v>25</v>
      </c>
      <c r="P8" s="456"/>
      <c r="Q8" s="456"/>
      <c r="R8" s="456"/>
      <c r="S8" s="209">
        <v>82</v>
      </c>
      <c r="T8" s="63" t="s">
        <v>26</v>
      </c>
      <c r="U8" s="210">
        <v>12</v>
      </c>
      <c r="V8" s="63" t="s">
        <v>27</v>
      </c>
      <c r="W8" s="210">
        <v>13</v>
      </c>
      <c r="X8" s="64" t="s">
        <v>28</v>
      </c>
      <c r="Y8" s="65">
        <f>VALUE(LEFT(Z8,4)&amp;MID(Z8,6,2)&amp;RIGHT(Z8,2))</f>
        <v>19931213</v>
      </c>
      <c r="Z8" s="66" t="str">
        <f>IF(AND(U8&lt;10,W8&lt;10),S8+1911&amp;"/"&amp;"0"&amp;U8&amp;"/"&amp;"0"&amp;W8,IF(U8&lt;10,S8+1911&amp;"/"&amp;"0"&amp;U8&amp;"/"&amp;W8,IF(W8&lt;10,S8+1911&amp;"/"&amp;U8&amp;"/"&amp;"0"&amp;W8,S8+1911&amp;"/"&amp;U8&amp;"/"&amp;W8)))</f>
        <v>1993/12/13</v>
      </c>
      <c r="AA8" s="189"/>
      <c r="AB8" s="189"/>
      <c r="AC8" s="189"/>
      <c r="AD8" s="336"/>
      <c r="AE8" s="505"/>
      <c r="AF8" s="506"/>
      <c r="AG8" s="507"/>
      <c r="AH8" s="253"/>
      <c r="AI8" s="253"/>
      <c r="AJ8" s="253"/>
      <c r="AK8" s="253"/>
      <c r="AL8" s="253"/>
      <c r="AM8" s="267"/>
      <c r="AN8" s="67"/>
      <c r="AO8" s="68"/>
      <c r="AP8" s="68"/>
      <c r="AQ8" s="68"/>
      <c r="AR8" s="69"/>
      <c r="AS8" s="69"/>
      <c r="AT8" s="69"/>
      <c r="AU8" s="69"/>
      <c r="AV8" s="69"/>
      <c r="AW8" s="130" t="s">
        <v>72</v>
      </c>
      <c r="AX8" s="131">
        <f>VLOOKUP("符合",AY31:BB66,3,FALSE)</f>
        <v>20381231</v>
      </c>
      <c r="AY8" s="69"/>
      <c r="AZ8" s="69"/>
      <c r="BA8" s="69"/>
      <c r="BB8" s="69"/>
      <c r="BC8" s="69"/>
      <c r="BD8" s="69"/>
      <c r="BE8" s="69"/>
      <c r="BF8" s="69"/>
      <c r="BG8" s="69"/>
      <c r="BH8" s="70"/>
      <c r="BI8" s="4"/>
      <c r="BJ8" s="4"/>
      <c r="BK8" s="4"/>
      <c r="BL8" s="4"/>
      <c r="BM8" s="4"/>
      <c r="BN8" s="4"/>
      <c r="BO8" s="4"/>
      <c r="BP8" s="4"/>
      <c r="BQ8" s="5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/>
      <c r="CC8"/>
      <c r="CD8" s="8"/>
      <c r="CE8" s="8"/>
      <c r="CF8" s="8"/>
      <c r="CG8" s="8"/>
      <c r="CH8" s="8"/>
      <c r="CI8" s="8"/>
      <c r="CJ8" s="8"/>
      <c r="CK8" s="183"/>
      <c r="CL8" s="8"/>
      <c r="CR8" s="186" t="s">
        <v>2</v>
      </c>
      <c r="CS8" s="72" t="s">
        <v>28</v>
      </c>
      <c r="DU8" s="2" t="s">
        <v>99</v>
      </c>
      <c r="DV8" s="2" t="str">
        <f>"."&amp;AF9&amp;"."&amp;AG9</f>
        <v>.12.13</v>
      </c>
      <c r="DZ8" s="207">
        <f>CONCATENATE(DZ31,DZ32,DZ33,DZ34,DZ35,DZ36,DZ37,DZ38,DZ39,DZ40,DZ41,DZ42,DZ43,DZ44,DZ45,DZ46)</f>
      </c>
      <c r="EA8" s="73">
        <f>CONCATENATE(EA31,EA32,EA33,EA34,EA35,EA36,EA37,EA38,EA39,EA40,EA41,EA42,EA43,EA44,EA45,EA46)</f>
      </c>
      <c r="EJ8" s="73"/>
      <c r="EK8" s="526">
        <f>CONCATENATE(EL31,EL32,EL33,EL34,EL35,EL36,EL37,EL38,EL39,EL40,EL41,EL42,EL43,EL44,EL45,EL46)</f>
      </c>
      <c r="EL8" s="415"/>
      <c r="EM8" s="8"/>
      <c r="EN8" s="8"/>
      <c r="EO8" s="8"/>
      <c r="EP8" s="212"/>
      <c r="EQ8" s="212"/>
      <c r="ER8" s="212"/>
      <c r="ES8" s="8"/>
      <c r="ET8" s="8"/>
      <c r="EU8" s="201"/>
      <c r="EV8" s="8"/>
      <c r="EW8" s="8"/>
      <c r="EX8" s="8"/>
      <c r="EY8" s="8"/>
      <c r="EZ8" s="8"/>
      <c r="FA8" s="8"/>
      <c r="FB8" s="8"/>
    </row>
    <row r="9" spans="1:158" ht="15.75" customHeight="1" thickBot="1" thickTop="1">
      <c r="A9" s="143"/>
      <c r="B9" s="151"/>
      <c r="N9" s="456" t="s">
        <v>15</v>
      </c>
      <c r="O9" s="457"/>
      <c r="P9" s="457"/>
      <c r="Q9" s="457"/>
      <c r="R9" s="458"/>
      <c r="S9" s="209"/>
      <c r="T9" s="63" t="s">
        <v>1</v>
      </c>
      <c r="U9" s="210"/>
      <c r="V9" s="63" t="s">
        <v>2</v>
      </c>
      <c r="W9" s="210"/>
      <c r="X9" s="64" t="s">
        <v>3</v>
      </c>
      <c r="Y9" s="534" t="s">
        <v>29</v>
      </c>
      <c r="Z9" s="535"/>
      <c r="AA9" s="189"/>
      <c r="AB9" s="189"/>
      <c r="AC9" s="189"/>
      <c r="AD9" s="337"/>
      <c r="AE9" s="335">
        <f>YEAR(AH9)-1911</f>
        <v>82</v>
      </c>
      <c r="AF9" s="254">
        <f>IF(U10+W10+U9+W9=0,U8,MONTH(AH9))</f>
        <v>12</v>
      </c>
      <c r="AG9" s="255">
        <f>IF(U10+W10+U9+W9=0,W8,DAY(AH9))</f>
        <v>13</v>
      </c>
      <c r="AH9" s="264">
        <f>DATE(S8+1911,U8,W8)+AM9-AM10</f>
        <v>34316</v>
      </c>
      <c r="AI9" s="319"/>
      <c r="AJ9" s="319"/>
      <c r="AK9" s="319"/>
      <c r="AL9" s="319"/>
      <c r="AM9" s="265">
        <f>IF(S9+U9+W9=0,0,S9*365+U9*30+W9)</f>
        <v>0</v>
      </c>
      <c r="AN9" s="188">
        <f>S9+U9+W9</f>
        <v>0</v>
      </c>
      <c r="AO9" s="50"/>
      <c r="AP9" s="50"/>
      <c r="AQ9" s="50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6"/>
      <c r="BH9" s="75"/>
      <c r="BI9" s="76"/>
      <c r="BJ9" s="76"/>
      <c r="BK9" s="76"/>
      <c r="BL9" s="76"/>
      <c r="BM9" s="76"/>
      <c r="BN9" s="76"/>
      <c r="BO9" s="76"/>
      <c r="BP9" s="76"/>
      <c r="BQ9" s="5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/>
      <c r="CC9"/>
      <c r="CD9" s="8"/>
      <c r="CE9" s="8"/>
      <c r="CF9" s="8"/>
      <c r="CG9" s="8"/>
      <c r="CH9" s="8"/>
      <c r="CI9" s="8"/>
      <c r="CJ9" s="8"/>
      <c r="CK9" s="183"/>
      <c r="CL9" s="8"/>
      <c r="CR9" s="186">
        <f>IF(AND(W8=1,U8=1),12,IF(AND(W8=1,U8&gt;1),U8-1,U8))</f>
        <v>12</v>
      </c>
      <c r="CS9" s="72">
        <f>IF(AND(W8=1,OR(CR9=1,CR9=3,CR9=5,CR9=7,CR9=8,CR9=10,CR9=12)),31,IF(AND(W8=1,OR(CR9=4,CR9=6,CR9=9,CR9=11)),30,IF(AND(W8=1,CR9=2,MOD(1911+S8,4)=0),29,IF(AND(W8=1,CR9=2,MOD(1911+S8,4)&gt;0),28,W8))))</f>
        <v>13</v>
      </c>
      <c r="DU9" s="2" t="s">
        <v>100</v>
      </c>
      <c r="DV9" s="2" t="str">
        <f>IF(CT31="初任",DV8,DV7)</f>
        <v>.12.13</v>
      </c>
      <c r="DZ9" s="206">
        <f>CONCATENATE(DZ47,DZ48,DZ49,DZ50,DZ51,DZ52,DZ53,DZ54,DZ55,DZ56,DZ57,DZ58,DZ59,DZ60,DZ61,DZ62,DZ63,DZ64,DZ65,DZ66)</f>
      </c>
      <c r="EA9" s="77" t="str">
        <f>CONCATENATE(EA47,EA48,EA49,EA50,EA51,EA52,EA53,EA54,EA55,EA56,EA57,EA58,EA59,EA60,EA61,EA62,EA63,EA64,EA65,EA66)</f>
        <v>128.2.1。【說明：原實際條件成就時間為50756，惟因必須配合學期而延至當學期結束之次日，始能退休生效，爰推算為128.2.1】</v>
      </c>
      <c r="EJ9" s="386">
        <f>MIN(EJ31:EJ70)</f>
        <v>50756</v>
      </c>
      <c r="EK9" s="527">
        <f>CONCATENATE(EL47,EL48,EL49,EL50,EL51,EL52,EL53,EL54,EL55,EL56,EL57,EL58,EL59,EL60,EL61,EL62,EL63,EL64,EL65,EL66)</f>
      </c>
      <c r="EL9" s="415"/>
      <c r="EM9" s="8"/>
      <c r="EN9" s="8"/>
      <c r="EO9" s="8"/>
      <c r="EP9" s="212"/>
      <c r="EQ9" s="212"/>
      <c r="ER9" s="212"/>
      <c r="ES9" s="8"/>
      <c r="ET9" s="8"/>
      <c r="EU9" s="201"/>
      <c r="EV9" s="8"/>
      <c r="EW9" s="8"/>
      <c r="EX9" s="8"/>
      <c r="EY9" s="8"/>
      <c r="EZ9" s="8"/>
      <c r="FA9" s="8"/>
      <c r="FB9" s="8"/>
    </row>
    <row r="10" spans="1:158" ht="15.75" customHeight="1" thickBot="1" thickTop="1">
      <c r="A10" s="143"/>
      <c r="B10" s="151"/>
      <c r="N10" s="456" t="s">
        <v>30</v>
      </c>
      <c r="O10" s="457"/>
      <c r="P10" s="457"/>
      <c r="Q10" s="457"/>
      <c r="R10" s="458"/>
      <c r="S10" s="209"/>
      <c r="T10" s="63" t="s">
        <v>31</v>
      </c>
      <c r="U10" s="210"/>
      <c r="V10" s="63" t="s">
        <v>32</v>
      </c>
      <c r="W10" s="210"/>
      <c r="X10" s="64" t="s">
        <v>33</v>
      </c>
      <c r="Y10" s="534" t="s">
        <v>34</v>
      </c>
      <c r="Z10" s="535"/>
      <c r="AA10" s="189"/>
      <c r="AB10" s="189"/>
      <c r="AC10" s="189"/>
      <c r="AD10" s="189"/>
      <c r="AE10" s="189" t="s">
        <v>1</v>
      </c>
      <c r="AF10" s="189" t="s">
        <v>2</v>
      </c>
      <c r="AG10" s="189" t="s">
        <v>3</v>
      </c>
      <c r="AH10" s="266"/>
      <c r="AI10" s="266"/>
      <c r="AJ10" s="266"/>
      <c r="AK10" s="266"/>
      <c r="AL10" s="266"/>
      <c r="AM10" s="265">
        <f>IF(S10+U10+W10=0,0,S10*365+U10*30+W10)</f>
        <v>0</v>
      </c>
      <c r="AN10" s="188">
        <f>S10+U10+W10</f>
        <v>0</v>
      </c>
      <c r="AO10" s="50"/>
      <c r="AP10" s="50"/>
      <c r="AQ10" s="50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78"/>
      <c r="BI10" s="4"/>
      <c r="BJ10" s="4"/>
      <c r="BK10" s="4"/>
      <c r="BL10" s="4"/>
      <c r="BM10" s="4"/>
      <c r="BN10" s="4"/>
      <c r="BO10" s="4"/>
      <c r="BP10" s="4"/>
      <c r="BQ10" s="5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/>
      <c r="CC10"/>
      <c r="CD10" s="79"/>
      <c r="CE10" s="79"/>
      <c r="CF10" s="79"/>
      <c r="CG10" s="79"/>
      <c r="CH10" s="79"/>
      <c r="CI10" s="79"/>
      <c r="CJ10" s="79"/>
      <c r="CK10" s="183"/>
      <c r="CL10" s="8"/>
      <c r="DU10" s="2" t="s">
        <v>101</v>
      </c>
      <c r="DV10" s="2" t="str">
        <f>IF(CW31="初任",DV8,DV7)</f>
        <v>.12.17</v>
      </c>
      <c r="EM10" s="8"/>
      <c r="EN10" s="8"/>
      <c r="EO10" s="8"/>
      <c r="EP10" s="212"/>
      <c r="EQ10" s="212"/>
      <c r="ER10" s="212"/>
      <c r="ES10" s="8"/>
      <c r="ET10" s="8"/>
      <c r="EU10" s="201"/>
      <c r="EV10" s="8"/>
      <c r="EW10" s="8"/>
      <c r="EX10" s="8"/>
      <c r="EY10" s="8"/>
      <c r="EZ10" s="8"/>
      <c r="FA10" s="8"/>
      <c r="FB10" s="8"/>
    </row>
    <row r="11" spans="1:192" s="29" customFormat="1" ht="9.75" customHeight="1" thickTop="1">
      <c r="A11" s="144"/>
      <c r="B11" s="150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26"/>
      <c r="AP11" s="26"/>
      <c r="AQ11" s="26"/>
      <c r="AR11" s="26"/>
      <c r="AS11" s="26"/>
      <c r="AT11" s="27"/>
      <c r="AU11" s="27"/>
      <c r="AV11" s="28"/>
      <c r="AW11" s="28"/>
      <c r="AX11" s="28"/>
      <c r="AY11" s="28"/>
      <c r="AZ11" s="28"/>
      <c r="BA11" s="28"/>
      <c r="BB11" s="28"/>
      <c r="BC11" s="28"/>
      <c r="BD11" s="28"/>
      <c r="BG11" s="30"/>
      <c r="BH11" s="31"/>
      <c r="BI11" s="32"/>
      <c r="BJ11" s="32"/>
      <c r="BK11" s="32"/>
      <c r="BL11" s="32"/>
      <c r="BM11" s="32"/>
      <c r="BN11" s="32"/>
      <c r="BO11" s="32"/>
      <c r="BP11" s="32"/>
      <c r="BQ11" s="33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/>
      <c r="CC11"/>
      <c r="CD11" s="80"/>
      <c r="CE11" s="80"/>
      <c r="CF11" s="80"/>
      <c r="CG11" s="80"/>
      <c r="CH11" s="80"/>
      <c r="CI11" s="80"/>
      <c r="CJ11" s="80"/>
      <c r="CK11" s="183"/>
      <c r="CL11" s="34"/>
      <c r="CM11" s="20"/>
      <c r="CN11" s="2"/>
      <c r="CO11" s="185"/>
      <c r="CP11" s="2"/>
      <c r="CQ11" s="2"/>
      <c r="CR11" s="185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V11" s="2"/>
      <c r="DW11" s="2"/>
      <c r="DX11" s="2"/>
      <c r="DY11" s="2"/>
      <c r="DZ11" s="2"/>
      <c r="EA11" s="10"/>
      <c r="EJ11" s="11"/>
      <c r="EK11" s="3"/>
      <c r="EL11" s="3"/>
      <c r="EM11" s="34"/>
      <c r="EN11" s="34"/>
      <c r="EO11" s="34"/>
      <c r="EP11" s="213"/>
      <c r="EQ11" s="213"/>
      <c r="ER11" s="213"/>
      <c r="ES11" s="34"/>
      <c r="ET11" s="34"/>
      <c r="EU11" s="202"/>
      <c r="EV11" s="34"/>
      <c r="EW11" s="34"/>
      <c r="EX11" s="34"/>
      <c r="EY11" s="34"/>
      <c r="EZ11" s="34"/>
      <c r="FA11" s="34"/>
      <c r="FB11" s="34"/>
      <c r="FC11" s="2"/>
      <c r="FD11" s="20"/>
      <c r="FE11" s="20"/>
      <c r="FF11" s="20"/>
      <c r="FG11" s="20"/>
      <c r="FH11" s="20"/>
      <c r="FI11" s="20"/>
      <c r="FJ11" s="20"/>
      <c r="FK11" s="326"/>
      <c r="FL11" s="326"/>
      <c r="FM11" s="326"/>
      <c r="FN11" s="326"/>
      <c r="FP11" s="326"/>
      <c r="FQ11" s="326"/>
      <c r="FR11" s="326"/>
      <c r="FS11" s="326"/>
      <c r="GF11" s="2"/>
      <c r="GG11" s="2"/>
      <c r="GH11" s="2"/>
      <c r="GJ11" s="20"/>
    </row>
    <row r="12" spans="1:192" s="29" customFormat="1" ht="6.75" customHeight="1">
      <c r="A12" s="144"/>
      <c r="B12" s="150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500"/>
      <c r="O12" s="500"/>
      <c r="P12" s="498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38"/>
      <c r="AO12" s="26"/>
      <c r="AP12" s="26"/>
      <c r="AQ12" s="26"/>
      <c r="AR12" s="26"/>
      <c r="AS12" s="26"/>
      <c r="AT12" s="27"/>
      <c r="AU12" s="27"/>
      <c r="AV12" s="28"/>
      <c r="AW12" s="28"/>
      <c r="AX12" s="28"/>
      <c r="AY12" s="28"/>
      <c r="AZ12" s="28"/>
      <c r="BA12" s="28"/>
      <c r="BB12" s="28"/>
      <c r="BC12" s="28"/>
      <c r="BD12" s="28"/>
      <c r="BG12" s="30"/>
      <c r="BH12" s="31"/>
      <c r="BI12" s="32"/>
      <c r="BJ12" s="32"/>
      <c r="BK12" s="32"/>
      <c r="BL12" s="32"/>
      <c r="BM12" s="32"/>
      <c r="BN12" s="32"/>
      <c r="BO12" s="32"/>
      <c r="BP12" s="32"/>
      <c r="BQ12" s="33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/>
      <c r="CC12"/>
      <c r="CD12" s="80"/>
      <c r="CE12" s="80"/>
      <c r="CF12" s="80"/>
      <c r="CG12" s="80"/>
      <c r="CH12" s="80"/>
      <c r="CI12" s="80"/>
      <c r="CJ12" s="80"/>
      <c r="CK12" s="183"/>
      <c r="CL12" s="34"/>
      <c r="CM12" s="20"/>
      <c r="CN12" s="2"/>
      <c r="CO12" s="185"/>
      <c r="CP12" s="2"/>
      <c r="CQ12" s="2"/>
      <c r="CR12" s="185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10"/>
      <c r="EJ12" s="11"/>
      <c r="EK12" s="3"/>
      <c r="EL12" s="3"/>
      <c r="EM12" s="34"/>
      <c r="EN12" s="34"/>
      <c r="EO12" s="34"/>
      <c r="EP12" s="213"/>
      <c r="EQ12" s="213"/>
      <c r="ER12" s="213"/>
      <c r="ES12" s="34"/>
      <c r="ET12" s="34"/>
      <c r="EU12" s="202"/>
      <c r="EV12" s="34"/>
      <c r="EW12" s="34"/>
      <c r="EX12" s="34"/>
      <c r="EY12" s="34"/>
      <c r="EZ12" s="34"/>
      <c r="FA12" s="34"/>
      <c r="FB12" s="34"/>
      <c r="FC12" s="2"/>
      <c r="FD12" s="20"/>
      <c r="FE12" s="20"/>
      <c r="FF12" s="20"/>
      <c r="FG12" s="20"/>
      <c r="FH12" s="20"/>
      <c r="FI12" s="20"/>
      <c r="FJ12" s="20"/>
      <c r="FK12" s="326"/>
      <c r="FL12" s="326"/>
      <c r="FM12" s="326"/>
      <c r="FN12" s="326"/>
      <c r="FP12" s="326"/>
      <c r="FQ12" s="326"/>
      <c r="FR12" s="326"/>
      <c r="FS12" s="326"/>
      <c r="GF12" s="2"/>
      <c r="GG12" s="2"/>
      <c r="GH12" s="2"/>
      <c r="GJ12" s="20"/>
    </row>
    <row r="13" spans="1:192" s="29" customFormat="1" ht="15" customHeight="1">
      <c r="A13" s="144"/>
      <c r="B13" s="15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95" t="s">
        <v>102</v>
      </c>
      <c r="O13" s="495"/>
      <c r="P13" s="496" t="s">
        <v>104</v>
      </c>
      <c r="Q13" s="497"/>
      <c r="R13" s="497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38"/>
      <c r="AO13" s="26"/>
      <c r="AP13" s="26"/>
      <c r="AQ13" s="26"/>
      <c r="AR13" s="26"/>
      <c r="AS13" s="26"/>
      <c r="AT13" s="27"/>
      <c r="AU13" s="27"/>
      <c r="AV13" s="28"/>
      <c r="AW13" s="28"/>
      <c r="AX13" s="28"/>
      <c r="AY13" s="28"/>
      <c r="AZ13" s="28"/>
      <c r="BA13" s="28"/>
      <c r="BB13" s="28"/>
      <c r="BC13" s="28"/>
      <c r="BD13" s="28"/>
      <c r="BG13" s="30"/>
      <c r="BH13" s="31"/>
      <c r="BI13" s="32"/>
      <c r="BJ13" s="32"/>
      <c r="BK13" s="32"/>
      <c r="BL13" s="32"/>
      <c r="BM13" s="32"/>
      <c r="BN13" s="32"/>
      <c r="BO13" s="32"/>
      <c r="BP13" s="32"/>
      <c r="BQ13" s="33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/>
      <c r="CC13"/>
      <c r="CD13" s="80"/>
      <c r="CE13" s="80"/>
      <c r="CF13" s="80"/>
      <c r="CG13" s="80"/>
      <c r="CH13" s="80"/>
      <c r="CI13" s="80"/>
      <c r="CJ13" s="80"/>
      <c r="CK13" s="183"/>
      <c r="CL13" s="34"/>
      <c r="CM13" s="20"/>
      <c r="CN13" s="2"/>
      <c r="CO13" s="185"/>
      <c r="CP13" s="2"/>
      <c r="CQ13" s="2"/>
      <c r="CR13" s="185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10"/>
      <c r="EJ13" s="11"/>
      <c r="EK13" s="3"/>
      <c r="EL13" s="3"/>
      <c r="EM13" s="34"/>
      <c r="EN13" s="34"/>
      <c r="EO13" s="34"/>
      <c r="EP13" s="213"/>
      <c r="EQ13" s="213"/>
      <c r="ER13" s="213"/>
      <c r="ES13" s="34"/>
      <c r="ET13" s="34"/>
      <c r="EU13" s="202"/>
      <c r="EV13" s="34"/>
      <c r="EW13" s="34"/>
      <c r="EX13" s="34"/>
      <c r="EY13" s="34"/>
      <c r="EZ13" s="34"/>
      <c r="FA13" s="34"/>
      <c r="FB13" s="34"/>
      <c r="FC13" s="2"/>
      <c r="FD13" s="20"/>
      <c r="FE13" s="20"/>
      <c r="FF13" s="20"/>
      <c r="FG13" s="20"/>
      <c r="FH13" s="20"/>
      <c r="FI13" s="20"/>
      <c r="FJ13" s="20"/>
      <c r="FK13" s="326"/>
      <c r="FL13" s="326"/>
      <c r="FM13" s="326"/>
      <c r="FN13" s="326"/>
      <c r="FP13" s="326"/>
      <c r="FQ13" s="326"/>
      <c r="FR13" s="326"/>
      <c r="FS13" s="326"/>
      <c r="GF13" s="2"/>
      <c r="GG13" s="2"/>
      <c r="GH13" s="2"/>
      <c r="GJ13" s="20"/>
    </row>
    <row r="14" spans="1:192" s="29" customFormat="1" ht="30" customHeight="1">
      <c r="A14" s="144"/>
      <c r="B14" s="15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44"/>
      <c r="O14" s="344"/>
      <c r="P14" s="440" t="str">
        <f>IF(OR(S7&lt;1,S8&lt;1),"請輸入上方白色欄位資料",BG27)&amp;"。"</f>
        <v>您將在緩衝期後的【127.1.1~127.12.31】期間，達到符合「年齡滿65歲、年資滿15年」之屆齡退休擇領月退休金條件。</v>
      </c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9"/>
      <c r="AJ14" s="509"/>
      <c r="AK14" s="509"/>
      <c r="AL14" s="509"/>
      <c r="AM14" s="345"/>
      <c r="AN14" s="38"/>
      <c r="AO14" s="26"/>
      <c r="AP14" s="26"/>
      <c r="AQ14" s="26"/>
      <c r="AR14" s="26"/>
      <c r="AS14" s="26"/>
      <c r="AT14" s="27"/>
      <c r="AU14" s="27"/>
      <c r="AV14" s="28"/>
      <c r="AW14" s="28"/>
      <c r="AX14" s="28"/>
      <c r="AY14" s="28"/>
      <c r="AZ14" s="28"/>
      <c r="BA14" s="28"/>
      <c r="BB14" s="28"/>
      <c r="BC14" s="28"/>
      <c r="BD14" s="28"/>
      <c r="BG14" s="30"/>
      <c r="BH14" s="31"/>
      <c r="BI14" s="32"/>
      <c r="BJ14" s="32"/>
      <c r="BK14" s="32"/>
      <c r="BL14" s="32"/>
      <c r="BM14" s="32"/>
      <c r="BN14" s="32"/>
      <c r="BO14" s="32"/>
      <c r="BP14" s="32"/>
      <c r="BQ14" s="33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/>
      <c r="CC14"/>
      <c r="CD14" s="80"/>
      <c r="CE14" s="80"/>
      <c r="CF14" s="80"/>
      <c r="CG14" s="80"/>
      <c r="CH14" s="80"/>
      <c r="CI14" s="80"/>
      <c r="CJ14" s="80"/>
      <c r="CK14" s="183"/>
      <c r="CL14" s="34"/>
      <c r="CM14" s="20"/>
      <c r="CN14" s="2"/>
      <c r="CO14" s="185"/>
      <c r="CP14" s="2"/>
      <c r="CQ14" s="2"/>
      <c r="CR14" s="185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104"/>
      <c r="DW14" s="2"/>
      <c r="DX14" s="2"/>
      <c r="DY14" s="2"/>
      <c r="DZ14" s="2"/>
      <c r="EA14" s="208"/>
      <c r="EJ14" s="11"/>
      <c r="EK14" s="3"/>
      <c r="EL14" s="3"/>
      <c r="EM14" s="34"/>
      <c r="EN14" s="34"/>
      <c r="EO14" s="34"/>
      <c r="EP14" s="213"/>
      <c r="EQ14" s="213"/>
      <c r="ER14" s="213"/>
      <c r="ES14" s="34"/>
      <c r="ET14" s="34"/>
      <c r="EU14" s="202"/>
      <c r="EV14" s="34"/>
      <c r="EW14" s="34"/>
      <c r="EX14" s="34"/>
      <c r="EY14" s="34"/>
      <c r="EZ14" s="34"/>
      <c r="FA14" s="34"/>
      <c r="FB14" s="34"/>
      <c r="FC14" s="2"/>
      <c r="FD14" s="20"/>
      <c r="FE14" s="20"/>
      <c r="FF14" s="20"/>
      <c r="FG14" s="20"/>
      <c r="FH14" s="20"/>
      <c r="FI14" s="20"/>
      <c r="FJ14" s="20"/>
      <c r="FK14" s="326"/>
      <c r="FL14" s="326"/>
      <c r="FM14" s="326"/>
      <c r="FN14" s="326"/>
      <c r="FP14" s="326"/>
      <c r="FQ14" s="326"/>
      <c r="FR14" s="326"/>
      <c r="FS14" s="326"/>
      <c r="GF14" s="2"/>
      <c r="GG14" s="2"/>
      <c r="GH14" s="2"/>
      <c r="GJ14" s="20"/>
    </row>
    <row r="15" spans="1:192" s="29" customFormat="1" ht="27" customHeight="1">
      <c r="A15" s="144"/>
      <c r="B15" s="15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346"/>
      <c r="O15" s="346"/>
      <c r="P15" s="501" t="str">
        <f>IF(OR(AND(S31&gt;=60,T31&gt;=15),AND(S31&gt;50,T31&gt;25,U31&gt;R31)),"茲經推算，您於106.1.1以前，即已符合申請退休並擇領【全額月退休金】之條件，可忽略下方選項","茲經推算，您實際可申請退休並擇領【全額月退休金】之最早生效日期應為："&amp;Z5&amp;EK5)</f>
        <v>茲經推算，您實際可申請退休並擇領【全額月退休金】之最早生效日期應為：127.12.17</v>
      </c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01"/>
      <c r="AD15" s="501"/>
      <c r="AE15" s="501"/>
      <c r="AF15" s="501"/>
      <c r="AG15" s="501"/>
      <c r="AH15" s="501"/>
      <c r="AI15" s="501"/>
      <c r="AJ15" s="501"/>
      <c r="AK15" s="501"/>
      <c r="AL15" s="501"/>
      <c r="AM15" s="501"/>
      <c r="AN15" s="38"/>
      <c r="AO15" s="26"/>
      <c r="AP15" s="26"/>
      <c r="AQ15" s="26"/>
      <c r="AR15" s="26"/>
      <c r="AS15" s="26"/>
      <c r="AT15" s="27"/>
      <c r="AU15" s="27"/>
      <c r="AV15" s="28"/>
      <c r="AW15" s="28"/>
      <c r="AX15" s="28"/>
      <c r="AY15" s="28"/>
      <c r="AZ15" s="28"/>
      <c r="BA15" s="28"/>
      <c r="BB15" s="28"/>
      <c r="BC15" s="28"/>
      <c r="BD15" s="28"/>
      <c r="BG15" s="30"/>
      <c r="BH15" s="31"/>
      <c r="BI15" s="32"/>
      <c r="BJ15" s="32"/>
      <c r="BK15" s="32"/>
      <c r="BL15" s="32"/>
      <c r="BM15" s="32"/>
      <c r="BN15" s="32"/>
      <c r="BO15" s="32"/>
      <c r="BP15" s="32"/>
      <c r="BQ15" s="33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/>
      <c r="CC15"/>
      <c r="CD15" s="80"/>
      <c r="CE15" s="80"/>
      <c r="CF15" s="80"/>
      <c r="CG15" s="80"/>
      <c r="CH15" s="80"/>
      <c r="CI15" s="80"/>
      <c r="CJ15" s="80"/>
      <c r="CK15" s="183"/>
      <c r="CL15" s="34"/>
      <c r="CM15" s="20"/>
      <c r="CN15" s="2"/>
      <c r="CO15" s="185"/>
      <c r="CP15" s="2"/>
      <c r="CQ15" s="2"/>
      <c r="CR15" s="185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10"/>
      <c r="EJ15" s="385"/>
      <c r="EK15" s="3"/>
      <c r="EL15" s="3"/>
      <c r="EM15" s="34"/>
      <c r="EN15" s="34"/>
      <c r="EO15" s="34"/>
      <c r="EP15" s="213"/>
      <c r="EQ15" s="213"/>
      <c r="ER15" s="213"/>
      <c r="ES15" s="34"/>
      <c r="ET15" s="34"/>
      <c r="EU15" s="202"/>
      <c r="EV15" s="34"/>
      <c r="EW15" s="34"/>
      <c r="EX15" s="34"/>
      <c r="EY15" s="34"/>
      <c r="EZ15" s="34"/>
      <c r="FA15" s="34"/>
      <c r="FB15" s="34"/>
      <c r="FC15" s="2"/>
      <c r="FD15" s="20"/>
      <c r="FE15" s="20"/>
      <c r="FF15" s="20"/>
      <c r="FG15" s="20"/>
      <c r="FH15" s="20"/>
      <c r="FI15" s="20"/>
      <c r="FJ15" s="20"/>
      <c r="FK15" s="326"/>
      <c r="FL15" s="326"/>
      <c r="FM15" s="326"/>
      <c r="FN15" s="326"/>
      <c r="FP15" s="326"/>
      <c r="FQ15" s="326"/>
      <c r="FR15" s="326"/>
      <c r="FS15" s="326"/>
      <c r="GF15" s="2"/>
      <c r="GG15" s="2"/>
      <c r="GH15" s="2"/>
      <c r="GJ15" s="20"/>
    </row>
    <row r="16" spans="1:192" s="29" customFormat="1" ht="18" customHeight="1" thickBot="1">
      <c r="A16" s="144"/>
      <c r="B16" s="15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95" t="s">
        <v>102</v>
      </c>
      <c r="O16" s="495"/>
      <c r="P16" s="440" t="s">
        <v>135</v>
      </c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38"/>
      <c r="AO16" s="26"/>
      <c r="AP16" s="26"/>
      <c r="AQ16" s="26"/>
      <c r="AR16" s="26"/>
      <c r="AS16" s="26"/>
      <c r="AT16" s="27"/>
      <c r="AU16" s="27"/>
      <c r="AV16" s="28"/>
      <c r="AW16" s="28"/>
      <c r="AX16" s="28"/>
      <c r="AY16" s="28"/>
      <c r="AZ16" s="28"/>
      <c r="BA16" s="28"/>
      <c r="BB16" s="28"/>
      <c r="BC16" s="28"/>
      <c r="BD16" s="28"/>
      <c r="BG16" s="30"/>
      <c r="BH16" s="31"/>
      <c r="BI16" s="32"/>
      <c r="BJ16" s="32"/>
      <c r="BK16" s="32"/>
      <c r="BL16" s="32"/>
      <c r="BM16" s="32"/>
      <c r="BN16" s="32"/>
      <c r="BO16" s="32"/>
      <c r="BP16" s="32"/>
      <c r="BQ16" s="33"/>
      <c r="BR16" s="197"/>
      <c r="BS16" s="197"/>
      <c r="BT16" s="197"/>
      <c r="BU16" s="197"/>
      <c r="BV16" s="191"/>
      <c r="BW16" s="191"/>
      <c r="BX16" s="191"/>
      <c r="BY16" s="191"/>
      <c r="BZ16" s="191"/>
      <c r="CA16" s="191"/>
      <c r="CB16"/>
      <c r="CC16"/>
      <c r="CD16" s="80"/>
      <c r="CE16" s="80"/>
      <c r="CF16" s="80"/>
      <c r="CG16" s="80"/>
      <c r="CH16" s="80"/>
      <c r="CI16" s="80"/>
      <c r="CJ16" s="80"/>
      <c r="CK16" s="183"/>
      <c r="CL16" s="34"/>
      <c r="CM16" s="20"/>
      <c r="CN16" s="2"/>
      <c r="CO16" s="185"/>
      <c r="CP16" s="2"/>
      <c r="CQ16" s="2"/>
      <c r="CR16" s="185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405" t="s">
        <v>93</v>
      </c>
      <c r="DV16" s="455"/>
      <c r="DW16" s="2" t="s">
        <v>96</v>
      </c>
      <c r="DX16" s="2">
        <f>INDEX(S31:S113,MATCH("●",AA31:AA113,0))</f>
        <v>45</v>
      </c>
      <c r="DY16" s="2" t="s">
        <v>97</v>
      </c>
      <c r="DZ16" s="2">
        <f>INDEX(T31:T113,MATCH("●",AA31:AA113,0))</f>
        <v>25</v>
      </c>
      <c r="EA16" s="10">
        <f>IF(AND(DX16=50,DZ16&gt;30),DV7,IF(AND(DX16&gt;50,DZ16=30),DV8,IF(AND(DX16&gt;50,DZ16&gt;30),DV9,IF(AND(DX16=50,DZ16=30),DV10,""))))</f>
      </c>
      <c r="EJ16" s="11"/>
      <c r="EK16" s="3"/>
      <c r="EL16" s="3"/>
      <c r="EM16" s="34"/>
      <c r="EN16" s="34"/>
      <c r="EO16" s="34"/>
      <c r="EP16" s="213"/>
      <c r="EQ16" s="213"/>
      <c r="ER16" s="213"/>
      <c r="ES16" s="34"/>
      <c r="ET16" s="34"/>
      <c r="EU16" s="202"/>
      <c r="EV16" s="34"/>
      <c r="EW16" s="34"/>
      <c r="EX16" s="34"/>
      <c r="EY16" s="34"/>
      <c r="EZ16" s="34"/>
      <c r="FA16" s="34"/>
      <c r="FB16" s="34"/>
      <c r="FC16" s="2"/>
      <c r="FD16" s="20"/>
      <c r="FE16" s="20"/>
      <c r="FF16" s="20"/>
      <c r="FG16" s="20"/>
      <c r="FH16" s="20"/>
      <c r="FI16" s="20"/>
      <c r="FJ16" s="20"/>
      <c r="FK16" s="326"/>
      <c r="FL16" s="326"/>
      <c r="FM16" s="326"/>
      <c r="FN16" s="326"/>
      <c r="FP16" s="326"/>
      <c r="FQ16" s="326"/>
      <c r="FR16" s="326"/>
      <c r="FS16" s="326"/>
      <c r="GF16" s="2"/>
      <c r="GG16" s="2"/>
      <c r="GH16" s="2"/>
      <c r="GJ16" s="20"/>
    </row>
    <row r="17" spans="1:192" s="29" customFormat="1" ht="15.75" customHeight="1" thickBot="1" thickTop="1">
      <c r="A17" s="144"/>
      <c r="B17" s="150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344"/>
      <c r="O17" s="347" t="s">
        <v>78</v>
      </c>
      <c r="P17" s="422" t="s">
        <v>148</v>
      </c>
      <c r="Q17" s="423"/>
      <c r="R17" s="423"/>
      <c r="S17" s="423"/>
      <c r="T17" s="474"/>
      <c r="U17" s="474"/>
      <c r="V17" s="474"/>
      <c r="W17" s="474"/>
      <c r="X17" s="474"/>
      <c r="Y17" s="474"/>
      <c r="Z17" s="474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38"/>
      <c r="AO17" s="26"/>
      <c r="AP17" s="26"/>
      <c r="AQ17" s="26"/>
      <c r="AR17" s="26"/>
      <c r="AS17" s="26"/>
      <c r="AT17" s="27"/>
      <c r="AU17" s="27"/>
      <c r="AV17" s="28"/>
      <c r="AW17" s="28"/>
      <c r="AX17" s="28"/>
      <c r="AY17" s="28"/>
      <c r="AZ17" s="28"/>
      <c r="BA17" s="28"/>
      <c r="BB17" s="28"/>
      <c r="BC17" s="28"/>
      <c r="BD17" s="28"/>
      <c r="BG17" s="30"/>
      <c r="BH17" s="31"/>
      <c r="BI17" s="32"/>
      <c r="BJ17" s="32"/>
      <c r="BK17" s="32"/>
      <c r="BL17" s="32"/>
      <c r="BM17" s="32"/>
      <c r="BN17" s="32"/>
      <c r="BO17" s="32"/>
      <c r="BP17" s="32"/>
      <c r="BQ17" s="33"/>
      <c r="BR17" s="198"/>
      <c r="BS17" s="199"/>
      <c r="BT17" s="199"/>
      <c r="BU17" s="199"/>
      <c r="BV17" s="199"/>
      <c r="BW17" s="199"/>
      <c r="BX17" s="199"/>
      <c r="BY17" s="198"/>
      <c r="BZ17" s="198"/>
      <c r="CA17" s="198"/>
      <c r="CB17"/>
      <c r="CC17"/>
      <c r="CD17" s="80"/>
      <c r="CE17" s="80"/>
      <c r="CF17" s="80"/>
      <c r="CG17" s="80"/>
      <c r="CH17" s="80"/>
      <c r="CI17" s="80"/>
      <c r="CJ17" s="80"/>
      <c r="CK17" s="183"/>
      <c r="CL17" s="34"/>
      <c r="CM17" s="20"/>
      <c r="CN17" s="2"/>
      <c r="CO17" s="185"/>
      <c r="CP17" s="2"/>
      <c r="CQ17" s="2"/>
      <c r="CR17" s="185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405" t="s">
        <v>94</v>
      </c>
      <c r="DV17" s="455"/>
      <c r="DW17" s="2" t="s">
        <v>96</v>
      </c>
      <c r="DX17" s="2">
        <f>INDEX(S31:S113,MATCH("●",AF31:AF113,0))</f>
        <v>53</v>
      </c>
      <c r="DY17" s="2" t="s">
        <v>97</v>
      </c>
      <c r="DZ17" s="2">
        <f>INDEX(T31:T113,MATCH("●",AF31:AF113,0))</f>
        <v>33</v>
      </c>
      <c r="EA17" s="10" t="str">
        <f>IF(AND(DX17=50,DZ17&gt;25),DV7,IF(AND(DX17&gt;50,DZ17=25),DV8,IF(AND(DX17&gt;50,DZ17&gt;25),DV9,IF(AND(DX17=50,DZ17=25),DV10,""))))</f>
        <v>.12.13</v>
      </c>
      <c r="EJ17" s="11"/>
      <c r="EK17" s="3"/>
      <c r="EL17" s="3"/>
      <c r="EM17" s="34"/>
      <c r="EN17" s="34"/>
      <c r="EO17" s="34"/>
      <c r="EP17" s="213"/>
      <c r="EQ17" s="213"/>
      <c r="ER17" s="213"/>
      <c r="ES17" s="34"/>
      <c r="ET17" s="34"/>
      <c r="EU17" s="202"/>
      <c r="EV17" s="34"/>
      <c r="EW17" s="34"/>
      <c r="EX17" s="34"/>
      <c r="EY17" s="34"/>
      <c r="EZ17" s="34"/>
      <c r="FA17" s="34"/>
      <c r="FB17" s="34"/>
      <c r="FC17" s="2"/>
      <c r="FD17" s="20"/>
      <c r="FE17" s="20"/>
      <c r="FF17" s="20"/>
      <c r="FG17" s="20"/>
      <c r="FH17" s="20"/>
      <c r="FI17" s="20"/>
      <c r="FJ17" s="20"/>
      <c r="FK17" s="326"/>
      <c r="FL17" s="326"/>
      <c r="FM17" s="326"/>
      <c r="FN17" s="326"/>
      <c r="FP17" s="326"/>
      <c r="FQ17" s="326"/>
      <c r="FR17" s="326"/>
      <c r="FS17" s="326"/>
      <c r="GF17" s="2"/>
      <c r="GG17" s="2"/>
      <c r="GH17" s="2"/>
      <c r="GJ17" s="20"/>
    </row>
    <row r="18" spans="1:192" s="29" customFormat="1" ht="19.5" customHeight="1" thickBot="1" thickTop="1">
      <c r="A18" s="144"/>
      <c r="B18" s="150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348"/>
      <c r="O18" s="349"/>
      <c r="P18" s="448" t="str">
        <f>IF(OR(Z142="",EJ7&lt;=Z141),"無符合日期，或可成就之退休日期晚於上述支領全額月退休金之日期，選擇無實益。","於年資屆滿25年（或30年）時先行退休，直至年齡達到起支年齡時（請參閱下圖1~7）才開始支領全額月退休金，您可申請的最早日期為："&amp;Z142)</f>
        <v>於年資屆滿25年（或30年）時先行退休，直至年齡達到起支年齡時（請參閱下圖1~7）才開始支領全額月退休金，您可申請的最早日期為：107.12.13</v>
      </c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38"/>
      <c r="AO18" s="26"/>
      <c r="AP18" s="26"/>
      <c r="AQ18" s="26"/>
      <c r="AR18" s="26"/>
      <c r="AS18" s="26"/>
      <c r="AT18" s="27"/>
      <c r="AU18" s="27"/>
      <c r="AV18" s="28"/>
      <c r="AW18" s="28"/>
      <c r="AX18" s="28"/>
      <c r="AY18" s="28"/>
      <c r="AZ18" s="28"/>
      <c r="BA18" s="28"/>
      <c r="BB18" s="28"/>
      <c r="BC18" s="28"/>
      <c r="BD18" s="28"/>
      <c r="BG18" s="30"/>
      <c r="BH18" s="31"/>
      <c r="BI18" s="32"/>
      <c r="BJ18" s="32"/>
      <c r="BK18" s="32"/>
      <c r="BL18" s="32"/>
      <c r="BM18" s="32"/>
      <c r="BN18" s="32"/>
      <c r="BO18" s="32"/>
      <c r="BP18" s="32"/>
      <c r="BQ18" s="33"/>
      <c r="BR18" s="198"/>
      <c r="BS18" s="200"/>
      <c r="BT18" s="200"/>
      <c r="BU18" s="200"/>
      <c r="BV18" s="200"/>
      <c r="BW18" s="200"/>
      <c r="BX18" s="200"/>
      <c r="BY18" s="198"/>
      <c r="BZ18" s="198"/>
      <c r="CA18" s="198"/>
      <c r="CB18"/>
      <c r="CC18"/>
      <c r="CD18" s="80"/>
      <c r="CE18" s="80"/>
      <c r="CF18" s="80"/>
      <c r="CG18" s="80"/>
      <c r="CH18" s="80"/>
      <c r="CI18" s="80"/>
      <c r="CJ18" s="80"/>
      <c r="CK18" s="183"/>
      <c r="CL18" s="34"/>
      <c r="CM18" s="20"/>
      <c r="CN18" s="2"/>
      <c r="CO18" s="185"/>
      <c r="CP18" s="2"/>
      <c r="CQ18" s="2"/>
      <c r="CR18" s="185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405" t="s">
        <v>95</v>
      </c>
      <c r="DV18" s="455"/>
      <c r="DW18" s="2" t="s">
        <v>96</v>
      </c>
      <c r="DX18" s="2">
        <f>INDEX(S31:S113,MATCH(MIN(AM31:AM113),AM31:AM113,0))</f>
        <v>60</v>
      </c>
      <c r="DY18" s="2" t="s">
        <v>97</v>
      </c>
      <c r="DZ18" s="2">
        <f>INDEX(T31:T113,MATCH(MIN(AM31:AM113),AM31:AM113,0))</f>
        <v>40</v>
      </c>
      <c r="EA18" s="10" t="str">
        <f>IF(OR(AND(DX18=50,DZ18&gt;30),AND(DX18=55,DZ18&gt;25)),DV7,IF(OR(AND(DX18&gt;50,DZ18=30),AND(DX18&gt;55,DZ18=25)),DV8,IF(OR(AND(DX18&gt;50,DZ18&gt;30),AND(DX18&gt;55,DZ18&gt;25)),DV9,IF(OR(AND(DX18=50,DZ18=30),AND(DX18=55,DZ18=25)),DV10,""))))</f>
        <v>.12.13</v>
      </c>
      <c r="EJ18" s="11"/>
      <c r="EK18" s="3"/>
      <c r="EL18" s="3"/>
      <c r="EM18" s="34"/>
      <c r="EN18" s="34"/>
      <c r="EO18" s="34"/>
      <c r="EP18" s="213"/>
      <c r="EQ18" s="213"/>
      <c r="ER18" s="213"/>
      <c r="ES18" s="34"/>
      <c r="ET18" s="34"/>
      <c r="EU18" s="202"/>
      <c r="EV18" s="34"/>
      <c r="EW18" s="34"/>
      <c r="EX18" s="34"/>
      <c r="EY18" s="34"/>
      <c r="EZ18" s="34"/>
      <c r="FA18" s="34"/>
      <c r="FB18" s="34"/>
      <c r="FC18" s="2"/>
      <c r="FD18" s="20"/>
      <c r="FE18" s="20"/>
      <c r="FF18" s="20"/>
      <c r="FG18" s="20"/>
      <c r="FH18" s="20"/>
      <c r="FI18" s="20"/>
      <c r="FJ18" s="20"/>
      <c r="FK18" s="326"/>
      <c r="FL18" s="326"/>
      <c r="FM18" s="326"/>
      <c r="FN18" s="326"/>
      <c r="FP18" s="326"/>
      <c r="FQ18" s="326"/>
      <c r="FR18" s="326"/>
      <c r="FS18" s="326"/>
      <c r="GF18" s="2"/>
      <c r="GG18" s="2"/>
      <c r="GH18" s="2"/>
      <c r="GJ18" s="20"/>
    </row>
    <row r="19" spans="1:192" s="29" customFormat="1" ht="24.75" customHeight="1" hidden="1" thickBot="1" thickTop="1">
      <c r="A19" s="144"/>
      <c r="B19" s="15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348"/>
      <c r="O19" s="349"/>
      <c r="P19" s="450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38"/>
      <c r="AO19" s="26"/>
      <c r="AP19" s="26"/>
      <c r="AQ19" s="26"/>
      <c r="AR19" s="26"/>
      <c r="AS19" s="26"/>
      <c r="AT19" s="27"/>
      <c r="AU19" s="27"/>
      <c r="AV19" s="28"/>
      <c r="AW19" s="28"/>
      <c r="AX19" s="28"/>
      <c r="AY19" s="28"/>
      <c r="AZ19" s="28"/>
      <c r="BA19" s="28"/>
      <c r="BB19" s="28"/>
      <c r="BC19" s="28"/>
      <c r="BD19" s="28"/>
      <c r="BG19" s="30"/>
      <c r="BH19" s="31"/>
      <c r="BI19" s="32"/>
      <c r="BJ19" s="32"/>
      <c r="BK19" s="32"/>
      <c r="BL19" s="32"/>
      <c r="BM19" s="32"/>
      <c r="BN19" s="32"/>
      <c r="BO19" s="32"/>
      <c r="BP19" s="32"/>
      <c r="BQ19" s="33"/>
      <c r="BR19" s="198"/>
      <c r="BS19" s="200"/>
      <c r="BT19" s="200"/>
      <c r="BU19" s="200"/>
      <c r="BV19" s="200"/>
      <c r="BW19" s="200"/>
      <c r="BX19" s="200"/>
      <c r="BY19" s="198"/>
      <c r="BZ19" s="198"/>
      <c r="CA19" s="198"/>
      <c r="CB19"/>
      <c r="CC19"/>
      <c r="CD19" s="80"/>
      <c r="CE19" s="80"/>
      <c r="CF19" s="80"/>
      <c r="CG19" s="80"/>
      <c r="CH19" s="80"/>
      <c r="CI19" s="80"/>
      <c r="CJ19" s="80"/>
      <c r="CK19" s="183"/>
      <c r="CL19" s="34"/>
      <c r="CM19" s="20"/>
      <c r="CN19" s="2"/>
      <c r="CO19" s="185"/>
      <c r="CP19" s="2"/>
      <c r="CQ19" s="2"/>
      <c r="CR19" s="185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10"/>
      <c r="EJ19" s="11"/>
      <c r="EK19" s="3"/>
      <c r="EL19" s="3"/>
      <c r="EM19" s="34"/>
      <c r="EN19" s="34"/>
      <c r="EO19" s="34"/>
      <c r="EP19" s="213"/>
      <c r="EQ19" s="213"/>
      <c r="ER19" s="213"/>
      <c r="ES19" s="34"/>
      <c r="ET19" s="34"/>
      <c r="EU19" s="202"/>
      <c r="EV19" s="34"/>
      <c r="EW19" s="34"/>
      <c r="EX19" s="34"/>
      <c r="EY19" s="34"/>
      <c r="EZ19" s="34"/>
      <c r="FA19" s="34"/>
      <c r="FB19" s="34"/>
      <c r="FC19" s="2"/>
      <c r="FD19" s="20"/>
      <c r="FE19" s="20"/>
      <c r="FF19" s="20"/>
      <c r="FG19" s="20"/>
      <c r="FH19" s="20"/>
      <c r="FI19" s="20"/>
      <c r="FJ19" s="20"/>
      <c r="FK19" s="326"/>
      <c r="FL19" s="326"/>
      <c r="FM19" s="326"/>
      <c r="FN19" s="326"/>
      <c r="FP19" s="326"/>
      <c r="FQ19" s="326"/>
      <c r="FR19" s="326"/>
      <c r="FS19" s="326"/>
      <c r="GF19" s="2"/>
      <c r="GG19" s="2"/>
      <c r="GH19" s="2"/>
      <c r="GJ19" s="20"/>
    </row>
    <row r="20" spans="1:192" s="29" customFormat="1" ht="24.75" customHeight="1" hidden="1" thickBot="1" thickTop="1">
      <c r="A20" s="144"/>
      <c r="B20" s="150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50"/>
      <c r="O20" s="349"/>
      <c r="P20" s="450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38"/>
      <c r="AO20" s="26"/>
      <c r="AP20" s="26"/>
      <c r="AQ20" s="26"/>
      <c r="AR20" s="26"/>
      <c r="AS20" s="26"/>
      <c r="AT20" s="27"/>
      <c r="AU20" s="27"/>
      <c r="AV20" s="28"/>
      <c r="AW20" s="28"/>
      <c r="AX20" s="28"/>
      <c r="AY20" s="28"/>
      <c r="AZ20" s="28"/>
      <c r="BA20" s="28"/>
      <c r="BB20" s="28"/>
      <c r="BC20" s="28"/>
      <c r="BD20" s="28"/>
      <c r="BG20" s="30"/>
      <c r="BH20" s="31"/>
      <c r="BI20" s="32"/>
      <c r="BJ20" s="32"/>
      <c r="BK20" s="32"/>
      <c r="BL20" s="32"/>
      <c r="BM20" s="32"/>
      <c r="BN20" s="32"/>
      <c r="BO20" s="32"/>
      <c r="BP20" s="32"/>
      <c r="BQ20" s="33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/>
      <c r="CC20"/>
      <c r="CD20" s="80"/>
      <c r="CE20" s="80"/>
      <c r="CF20" s="80"/>
      <c r="CG20" s="80"/>
      <c r="CH20" s="80"/>
      <c r="CI20" s="80"/>
      <c r="CJ20" s="80"/>
      <c r="CK20" s="183"/>
      <c r="CL20" s="34"/>
      <c r="CM20" s="20"/>
      <c r="CN20" s="2"/>
      <c r="CO20" s="185"/>
      <c r="CP20" s="2"/>
      <c r="CQ20" s="2"/>
      <c r="CR20" s="185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10"/>
      <c r="EJ20" s="11"/>
      <c r="EK20" s="3"/>
      <c r="EL20" s="3"/>
      <c r="EM20" s="34"/>
      <c r="EN20" s="34"/>
      <c r="EO20" s="34"/>
      <c r="EP20" s="213"/>
      <c r="EQ20" s="213"/>
      <c r="ER20" s="213"/>
      <c r="ES20" s="34"/>
      <c r="ET20" s="34"/>
      <c r="EU20" s="202"/>
      <c r="EV20" s="34"/>
      <c r="EW20" s="34"/>
      <c r="EX20" s="34"/>
      <c r="EY20" s="34"/>
      <c r="EZ20" s="34"/>
      <c r="FA20" s="34"/>
      <c r="FB20" s="34"/>
      <c r="FC20" s="2"/>
      <c r="FD20" s="20"/>
      <c r="FE20" s="20"/>
      <c r="FF20" s="20"/>
      <c r="FG20" s="20"/>
      <c r="FH20" s="20"/>
      <c r="FI20" s="20"/>
      <c r="FJ20" s="20"/>
      <c r="FK20" s="326"/>
      <c r="FL20" s="326"/>
      <c r="FM20" s="326"/>
      <c r="FN20" s="326"/>
      <c r="FP20" s="326"/>
      <c r="FQ20" s="326"/>
      <c r="FR20" s="326"/>
      <c r="FS20" s="326"/>
      <c r="GF20" s="2"/>
      <c r="GG20" s="2"/>
      <c r="GH20" s="2"/>
      <c r="GJ20" s="20"/>
    </row>
    <row r="21" spans="1:192" s="29" customFormat="1" ht="24.75" customHeight="1" hidden="1" thickTop="1">
      <c r="A21" s="144"/>
      <c r="B21" s="15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351"/>
      <c r="O21" s="347"/>
      <c r="P21" s="422"/>
      <c r="Q21" s="423"/>
      <c r="R21" s="423"/>
      <c r="S21" s="423"/>
      <c r="T21" s="424">
        <f>IF(LEFT(AA32,1)="【","【最早符合時間 ( "&amp;EP34&amp;" 年 ) 在上述可支領全額月退休金之日期後，無申請必要】","")</f>
      </c>
      <c r="U21" s="424"/>
      <c r="V21" s="424"/>
      <c r="W21" s="424"/>
      <c r="X21" s="424"/>
      <c r="Y21" s="424"/>
      <c r="Z21" s="425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45"/>
      <c r="AN21" s="38"/>
      <c r="AO21" s="26"/>
      <c r="AP21" s="26"/>
      <c r="AQ21" s="26"/>
      <c r="AR21" s="473"/>
      <c r="AS21" s="473"/>
      <c r="AT21" s="473"/>
      <c r="AU21" s="473"/>
      <c r="AV21" s="473"/>
      <c r="AW21" s="473"/>
      <c r="AX21" s="473"/>
      <c r="AY21" s="473"/>
      <c r="AZ21" s="473"/>
      <c r="BA21" s="473"/>
      <c r="BB21" s="473"/>
      <c r="BC21" s="473"/>
      <c r="BD21" s="28"/>
      <c r="BG21" s="30"/>
      <c r="BH21" s="31"/>
      <c r="BI21" s="32"/>
      <c r="BJ21" s="32"/>
      <c r="BK21" s="32"/>
      <c r="BL21" s="32"/>
      <c r="BM21" s="32"/>
      <c r="BN21" s="32"/>
      <c r="BO21" s="32"/>
      <c r="BP21" s="32"/>
      <c r="BQ21" s="33"/>
      <c r="BR21" s="462" t="s">
        <v>74</v>
      </c>
      <c r="BS21" s="463"/>
      <c r="BT21" s="463"/>
      <c r="BU21" s="463"/>
      <c r="BV21" s="463"/>
      <c r="BW21" s="463"/>
      <c r="BX21" s="463"/>
      <c r="BY21" s="463"/>
      <c r="BZ21" s="463"/>
      <c r="CA21" s="464"/>
      <c r="CB21" s="80"/>
      <c r="CC21" s="80"/>
      <c r="CD21" s="80"/>
      <c r="CE21" s="80"/>
      <c r="CF21" s="80"/>
      <c r="CG21" s="80"/>
      <c r="CH21" s="80"/>
      <c r="CI21" s="80"/>
      <c r="CJ21" s="80"/>
      <c r="CK21" s="183"/>
      <c r="CL21" s="34"/>
      <c r="CM21" s="20"/>
      <c r="CN21" s="2"/>
      <c r="CO21" s="185"/>
      <c r="CP21" s="2"/>
      <c r="CQ21" s="2"/>
      <c r="CR21" s="185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10"/>
      <c r="EJ21" s="11"/>
      <c r="EK21" s="3"/>
      <c r="EL21" s="3"/>
      <c r="EM21" s="34"/>
      <c r="EN21" s="34"/>
      <c r="EO21" s="34"/>
      <c r="EP21" s="213"/>
      <c r="EQ21" s="213"/>
      <c r="ER21" s="213"/>
      <c r="ES21" s="34"/>
      <c r="ET21" s="34"/>
      <c r="EU21" s="202"/>
      <c r="EV21" s="34"/>
      <c r="EW21" s="34"/>
      <c r="EX21" s="34"/>
      <c r="EY21" s="34"/>
      <c r="EZ21" s="34"/>
      <c r="FA21" s="34"/>
      <c r="FB21" s="34"/>
      <c r="FC21" s="2"/>
      <c r="FD21" s="20"/>
      <c r="FE21" s="20"/>
      <c r="FF21" s="20"/>
      <c r="FG21" s="20"/>
      <c r="FH21" s="20"/>
      <c r="FI21" s="20"/>
      <c r="FJ21" s="20"/>
      <c r="FK21" s="326"/>
      <c r="FL21" s="326"/>
      <c r="FM21" s="326"/>
      <c r="FN21" s="326"/>
      <c r="FP21" s="326"/>
      <c r="FQ21" s="326"/>
      <c r="FR21" s="326"/>
      <c r="FS21" s="326"/>
      <c r="GF21" s="2"/>
      <c r="GG21" s="2"/>
      <c r="GH21" s="2"/>
      <c r="GJ21" s="20"/>
    </row>
    <row r="22" spans="1:192" s="29" customFormat="1" ht="19.5" customHeight="1" thickTop="1">
      <c r="A22" s="144"/>
      <c r="B22" s="150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44"/>
      <c r="O22" s="347"/>
      <c r="P22" s="446" t="s">
        <v>152</v>
      </c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38"/>
      <c r="AO22" s="26"/>
      <c r="AP22" s="26"/>
      <c r="AQ22" s="26"/>
      <c r="AR22" s="26"/>
      <c r="AS22" s="26"/>
      <c r="AT22" s="27"/>
      <c r="AU22" s="27"/>
      <c r="AV22" s="28"/>
      <c r="AW22" s="28"/>
      <c r="AX22" s="28"/>
      <c r="AY22" s="28"/>
      <c r="AZ22" s="28"/>
      <c r="BA22" s="28"/>
      <c r="BB22" s="28"/>
      <c r="BC22" s="28"/>
      <c r="BD22" s="28"/>
      <c r="BG22" s="30"/>
      <c r="BH22" s="31"/>
      <c r="BI22" s="32"/>
      <c r="BJ22" s="32"/>
      <c r="BK22" s="32"/>
      <c r="BL22" s="32"/>
      <c r="BM22" s="32"/>
      <c r="BN22" s="32"/>
      <c r="BO22" s="32"/>
      <c r="BP22" s="32"/>
      <c r="BQ22" s="33"/>
      <c r="BR22" s="465"/>
      <c r="BS22" s="466"/>
      <c r="BT22" s="466"/>
      <c r="BU22" s="466"/>
      <c r="BV22" s="466"/>
      <c r="BW22" s="466"/>
      <c r="BX22" s="466"/>
      <c r="BY22" s="466"/>
      <c r="BZ22" s="466"/>
      <c r="CA22" s="467"/>
      <c r="CB22" s="80"/>
      <c r="CC22" s="80"/>
      <c r="CD22" s="80"/>
      <c r="CE22" s="80"/>
      <c r="CF22" s="80"/>
      <c r="CG22" s="80"/>
      <c r="CH22" s="80"/>
      <c r="CI22" s="80"/>
      <c r="CJ22" s="80"/>
      <c r="CK22" s="183"/>
      <c r="CL22" s="34"/>
      <c r="CM22" s="20"/>
      <c r="CN22" s="2"/>
      <c r="CO22" s="185"/>
      <c r="CP22" s="2"/>
      <c r="CQ22" s="2"/>
      <c r="CR22" s="185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10"/>
      <c r="EJ22" s="11"/>
      <c r="EK22" s="3"/>
      <c r="EL22" s="3"/>
      <c r="EM22" s="34"/>
      <c r="EN22" s="34"/>
      <c r="EO22" s="34"/>
      <c r="EP22" s="213"/>
      <c r="EQ22" s="213"/>
      <c r="ER22" s="213"/>
      <c r="ES22" s="34"/>
      <c r="ET22" s="34"/>
      <c r="EU22" s="202"/>
      <c r="EV22" s="34"/>
      <c r="EW22" s="34"/>
      <c r="EX22" s="34"/>
      <c r="EY22" s="34"/>
      <c r="EZ22" s="34"/>
      <c r="FA22" s="34"/>
      <c r="FB22" s="34"/>
      <c r="FC22" s="2"/>
      <c r="FD22" s="20"/>
      <c r="FE22" s="20"/>
      <c r="FF22" s="20"/>
      <c r="FG22" s="20"/>
      <c r="FH22" s="20"/>
      <c r="FI22" s="20"/>
      <c r="FJ22" s="20"/>
      <c r="FK22" s="326"/>
      <c r="FL22" s="326"/>
      <c r="FM22" s="326"/>
      <c r="FN22" s="326"/>
      <c r="FP22" s="326"/>
      <c r="FQ22" s="326"/>
      <c r="FR22" s="326"/>
      <c r="FS22" s="326"/>
      <c r="GF22" s="2"/>
      <c r="GG22" s="2"/>
      <c r="GH22" s="2"/>
      <c r="GJ22" s="20"/>
    </row>
    <row r="23" spans="1:192" s="29" customFormat="1" ht="18" customHeight="1">
      <c r="A23" s="144"/>
      <c r="B23" s="15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348"/>
      <c r="O23" s="347" t="s">
        <v>78</v>
      </c>
      <c r="P23" s="422" t="s">
        <v>149</v>
      </c>
      <c r="Q23" s="423"/>
      <c r="R23" s="423"/>
      <c r="S23" s="423"/>
      <c r="T23" s="442"/>
      <c r="U23" s="442"/>
      <c r="V23" s="442"/>
      <c r="W23" s="442"/>
      <c r="X23" s="442"/>
      <c r="Y23" s="442"/>
      <c r="Z23" s="442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38"/>
      <c r="AO23" s="26"/>
      <c r="AP23" s="26"/>
      <c r="AQ23" s="26"/>
      <c r="AR23" s="26"/>
      <c r="AS23" s="26"/>
      <c r="AT23" s="27"/>
      <c r="AU23" s="27"/>
      <c r="AV23" s="28"/>
      <c r="AW23" s="28"/>
      <c r="AX23" s="28"/>
      <c r="AY23" s="28"/>
      <c r="AZ23" s="28"/>
      <c r="BA23" s="28"/>
      <c r="BB23" s="28"/>
      <c r="BC23" s="28"/>
      <c r="BD23" s="28"/>
      <c r="BG23" s="30"/>
      <c r="BH23" s="31" t="s">
        <v>110</v>
      </c>
      <c r="BI23" s="31" t="s">
        <v>110</v>
      </c>
      <c r="BJ23" s="31" t="s">
        <v>110</v>
      </c>
      <c r="BK23" s="32" t="s">
        <v>103</v>
      </c>
      <c r="BL23" s="32"/>
      <c r="BM23" s="32" t="s">
        <v>103</v>
      </c>
      <c r="BN23" s="32"/>
      <c r="BO23" s="32" t="s">
        <v>103</v>
      </c>
      <c r="BP23" s="32"/>
      <c r="BQ23" s="33"/>
      <c r="BR23" s="468"/>
      <c r="BS23" s="469"/>
      <c r="BT23" s="469"/>
      <c r="BU23" s="469"/>
      <c r="BV23" s="469"/>
      <c r="BW23" s="469"/>
      <c r="BX23" s="469"/>
      <c r="BY23" s="469"/>
      <c r="BZ23" s="469"/>
      <c r="CA23" s="470"/>
      <c r="CB23" s="80"/>
      <c r="CC23" s="80"/>
      <c r="CD23" s="80"/>
      <c r="CE23" s="80"/>
      <c r="CF23" s="80"/>
      <c r="CG23" s="80"/>
      <c r="CH23" s="80"/>
      <c r="CI23" s="80"/>
      <c r="CJ23" s="80"/>
      <c r="CK23" s="183"/>
      <c r="CL23" s="34"/>
      <c r="CM23" s="20"/>
      <c r="CN23" s="2"/>
      <c r="CO23" s="185"/>
      <c r="CP23" s="2"/>
      <c r="CQ23" s="2"/>
      <c r="CR23" s="185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10"/>
      <c r="EJ23" s="11"/>
      <c r="EK23" s="3"/>
      <c r="EL23" s="3"/>
      <c r="EM23" s="34"/>
      <c r="EN23" s="34"/>
      <c r="EO23" s="34"/>
      <c r="EP23" s="213"/>
      <c r="EQ23" s="213"/>
      <c r="ER23" s="213"/>
      <c r="ES23" s="34"/>
      <c r="ET23" s="34"/>
      <c r="EU23" s="202"/>
      <c r="EV23" s="34"/>
      <c r="EW23" s="34"/>
      <c r="EX23" s="34"/>
      <c r="EY23" s="34"/>
      <c r="EZ23" s="34"/>
      <c r="FA23" s="34"/>
      <c r="FB23" s="34"/>
      <c r="FC23" s="2"/>
      <c r="FD23" s="20"/>
      <c r="FE23" s="20"/>
      <c r="FF23" s="20"/>
      <c r="FG23" s="20"/>
      <c r="FH23" s="20"/>
      <c r="FI23" s="20"/>
      <c r="FJ23" s="20"/>
      <c r="FK23" s="326"/>
      <c r="FL23" s="326"/>
      <c r="FM23" s="326"/>
      <c r="FN23" s="326"/>
      <c r="FP23" s="326"/>
      <c r="FQ23" s="326"/>
      <c r="FR23" s="326"/>
      <c r="FS23" s="326"/>
      <c r="GF23" s="2"/>
      <c r="GG23" s="2"/>
      <c r="GH23" s="2"/>
      <c r="GJ23" s="20"/>
    </row>
    <row r="24" spans="1:192" s="29" customFormat="1" ht="19.5" customHeight="1">
      <c r="A24" s="144"/>
      <c r="B24" s="150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348"/>
      <c r="O24" s="348"/>
      <c r="P24" s="444" t="str">
        <f>IF(OR(AG142="",EJ7&lt;=AG141),"無符合日期，或可成就之退休日期晚於上述支領全額月退休金之日期，選擇無實益。","於年資屆滿25年（或30年）且年齡屆滿法定年齡前，先行退休；但以法定年齡為基準，每提前1年減4%月退休金，最多提前5年，您可申請的最早日期為："&amp;AG142&amp;"，減額比率請參閱下圖8~14")</f>
        <v>於年資屆滿25年（或30年）且年齡屆滿法定年齡前，先行退休；但以法定年齡為基準，每提前1年減4%月退休金，最多提前5年，您可申請的最早日期為：122.12.17，減額比率請參閱下圖8~14</v>
      </c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38"/>
      <c r="AO24" s="26"/>
      <c r="AP24" s="26"/>
      <c r="AQ24" s="26"/>
      <c r="AR24" s="26"/>
      <c r="AS24" s="26"/>
      <c r="AT24" s="27"/>
      <c r="AU24" s="27"/>
      <c r="AV24" s="28"/>
      <c r="AW24" s="28"/>
      <c r="AX24" s="28"/>
      <c r="AY24" s="28"/>
      <c r="AZ24" s="28"/>
      <c r="BA24" s="28"/>
      <c r="BB24" s="28"/>
      <c r="BC24" s="28"/>
      <c r="BD24" s="28"/>
      <c r="BG24" s="190">
        <v>95</v>
      </c>
      <c r="BH24" s="31"/>
      <c r="BI24" s="32"/>
      <c r="BJ24" s="32"/>
      <c r="BK24" s="32"/>
      <c r="BL24" s="32"/>
      <c r="BM24" s="32"/>
      <c r="BN24" s="32"/>
      <c r="BO24" s="32"/>
      <c r="BP24" s="32"/>
      <c r="BQ24" s="33"/>
      <c r="BR24" s="486" t="s">
        <v>86</v>
      </c>
      <c r="BS24" s="487"/>
      <c r="BT24" s="487"/>
      <c r="BU24" s="487"/>
      <c r="BV24" s="487"/>
      <c r="BW24" s="487"/>
      <c r="BX24" s="488"/>
      <c r="BY24" s="523" t="str">
        <f>SUM(BY31:BY44)+INT((SUM(BZ31:BZ44)+INT(SUM(CA31:CA44)/30))/12)&amp;"
年"</f>
        <v>2
年</v>
      </c>
      <c r="BZ24" s="523" t="str">
        <f>MOD((SUM(BZ31:BZ44)+INT(SUM(CA31:CA44)/30)),12)&amp;"
月"</f>
        <v>1
月</v>
      </c>
      <c r="CA24" s="416" t="str">
        <f>MOD(SUM(CA31:CA44),30)&amp;"
日"</f>
        <v>13
日</v>
      </c>
      <c r="CB24" s="80"/>
      <c r="CC24" s="80"/>
      <c r="CD24" s="80"/>
      <c r="CE24" s="80"/>
      <c r="CF24" s="80"/>
      <c r="CG24" s="80"/>
      <c r="CH24" s="80"/>
      <c r="CI24" s="80"/>
      <c r="CJ24" s="80"/>
      <c r="CK24" s="183"/>
      <c r="CL24" s="34"/>
      <c r="CM24" s="20"/>
      <c r="CN24" s="2"/>
      <c r="CO24" s="185"/>
      <c r="CP24" s="2"/>
      <c r="CQ24" s="2"/>
      <c r="CR24" s="185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10"/>
      <c r="EJ24" s="11"/>
      <c r="EK24" s="3"/>
      <c r="EL24" s="3"/>
      <c r="EM24" s="34"/>
      <c r="EN24" s="34"/>
      <c r="EO24" s="34"/>
      <c r="EP24" s="213"/>
      <c r="EQ24" s="213"/>
      <c r="ER24" s="213"/>
      <c r="ES24" s="34"/>
      <c r="ET24" s="34"/>
      <c r="EU24" s="202"/>
      <c r="EV24" s="34"/>
      <c r="EW24" s="34"/>
      <c r="EX24" s="34"/>
      <c r="EY24" s="34"/>
      <c r="EZ24" s="34"/>
      <c r="FA24" s="34"/>
      <c r="FB24" s="34"/>
      <c r="FC24" s="2"/>
      <c r="FD24" s="20"/>
      <c r="FE24" s="20"/>
      <c r="FF24" s="20"/>
      <c r="FG24" s="20"/>
      <c r="FH24" s="20"/>
      <c r="FI24" s="20"/>
      <c r="FJ24" s="20"/>
      <c r="FK24" s="326"/>
      <c r="FL24" s="326"/>
      <c r="FM24" s="326"/>
      <c r="FN24" s="326"/>
      <c r="FP24" s="326"/>
      <c r="FQ24" s="326"/>
      <c r="FR24" s="326"/>
      <c r="FS24" s="326"/>
      <c r="GF24" s="2"/>
      <c r="GG24" s="2"/>
      <c r="GH24" s="2"/>
      <c r="GJ24" s="20"/>
    </row>
    <row r="25" spans="1:192" s="29" customFormat="1" ht="19.5" customHeight="1">
      <c r="A25" s="144"/>
      <c r="B25" s="15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350"/>
      <c r="O25" s="349"/>
      <c r="P25" s="446" t="s">
        <v>157</v>
      </c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38"/>
      <c r="AO25" s="26"/>
      <c r="AP25" s="26"/>
      <c r="AQ25" s="26"/>
      <c r="AR25" s="26"/>
      <c r="AS25" s="26"/>
      <c r="AT25" s="27"/>
      <c r="AU25" s="27"/>
      <c r="AV25" s="28"/>
      <c r="AW25" s="28"/>
      <c r="AX25" s="28"/>
      <c r="AY25" s="28"/>
      <c r="AZ25" s="28"/>
      <c r="BA25" s="28"/>
      <c r="BB25" s="28"/>
      <c r="BC25" s="28"/>
      <c r="BD25" s="28"/>
      <c r="BG25" s="190"/>
      <c r="BH25" s="31"/>
      <c r="BI25" s="32"/>
      <c r="BJ25" s="32"/>
      <c r="BK25" s="32"/>
      <c r="BL25" s="32"/>
      <c r="BM25" s="32"/>
      <c r="BN25" s="32"/>
      <c r="BO25" s="32"/>
      <c r="BP25" s="32"/>
      <c r="BQ25" s="33"/>
      <c r="BR25" s="489"/>
      <c r="BS25" s="490"/>
      <c r="BT25" s="490"/>
      <c r="BU25" s="490"/>
      <c r="BV25" s="490"/>
      <c r="BW25" s="490"/>
      <c r="BX25" s="491"/>
      <c r="BY25" s="524"/>
      <c r="BZ25" s="524"/>
      <c r="CA25" s="417"/>
      <c r="CB25" s="80"/>
      <c r="CC25" s="80"/>
      <c r="CD25" s="80"/>
      <c r="CE25" s="80"/>
      <c r="CF25" s="80"/>
      <c r="CG25" s="80"/>
      <c r="CH25" s="80"/>
      <c r="CI25" s="80"/>
      <c r="CJ25" s="80"/>
      <c r="CK25" s="183"/>
      <c r="CL25" s="34"/>
      <c r="CM25" s="20"/>
      <c r="CN25" s="2"/>
      <c r="CO25" s="185"/>
      <c r="CP25" s="2"/>
      <c r="CQ25" s="2"/>
      <c r="CR25" s="185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511" t="s">
        <v>84</v>
      </c>
      <c r="DD25" s="511"/>
      <c r="DE25" s="511"/>
      <c r="DF25" s="511"/>
      <c r="DG25" s="511"/>
      <c r="DH25" s="511"/>
      <c r="DI25" s="511"/>
      <c r="DJ25" s="511"/>
      <c r="DK25" s="511"/>
      <c r="DL25" s="511"/>
      <c r="DM25" s="511"/>
      <c r="DN25" s="511"/>
      <c r="DO25" s="511"/>
      <c r="DP25" s="511"/>
      <c r="DQ25" s="511"/>
      <c r="DR25" s="511"/>
      <c r="DS25" s="511"/>
      <c r="DT25" s="511"/>
      <c r="DU25" s="511"/>
      <c r="DV25" s="511"/>
      <c r="DW25" s="511"/>
      <c r="DX25" s="511"/>
      <c r="DY25" s="511"/>
      <c r="DZ25" s="511"/>
      <c r="EA25" s="511"/>
      <c r="EB25" s="515" t="s">
        <v>85</v>
      </c>
      <c r="EC25" s="515"/>
      <c r="ED25" s="515"/>
      <c r="EE25" s="515"/>
      <c r="EF25" s="515"/>
      <c r="EG25" s="515"/>
      <c r="EH25" s="515"/>
      <c r="EI25" s="515"/>
      <c r="EJ25" s="515"/>
      <c r="EK25" s="3"/>
      <c r="EL25" s="3"/>
      <c r="EM25" s="34"/>
      <c r="EN25" s="34"/>
      <c r="EO25" s="34"/>
      <c r="EP25" s="213"/>
      <c r="EQ25" s="213"/>
      <c r="ER25" s="213"/>
      <c r="ES25" s="34"/>
      <c r="ET25" s="34"/>
      <c r="EU25" s="202"/>
      <c r="EV25" s="34"/>
      <c r="EW25" s="34"/>
      <c r="EX25" s="34"/>
      <c r="EY25" s="34"/>
      <c r="EZ25" s="34"/>
      <c r="FA25" s="34"/>
      <c r="FB25" s="34"/>
      <c r="FC25" s="2"/>
      <c r="FD25" s="20"/>
      <c r="FE25" s="20"/>
      <c r="FF25" s="20"/>
      <c r="FG25" s="20"/>
      <c r="FH25" s="20"/>
      <c r="FI25" s="20"/>
      <c r="FJ25" s="20"/>
      <c r="FK25" s="326"/>
      <c r="FL25" s="326"/>
      <c r="FM25" s="326"/>
      <c r="FN25" s="326"/>
      <c r="FP25" s="326"/>
      <c r="FQ25" s="326"/>
      <c r="FR25" s="326"/>
      <c r="FS25" s="326"/>
      <c r="GF25" s="2"/>
      <c r="GG25" s="2"/>
      <c r="GH25" s="2"/>
      <c r="GJ25" s="20"/>
    </row>
    <row r="26" spans="1:192" s="29" customFormat="1" ht="16.5" customHeight="1" thickBot="1">
      <c r="A26" s="144"/>
      <c r="B26" s="15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617"/>
      <c r="O26" s="617"/>
      <c r="P26" s="617"/>
      <c r="Q26" s="617"/>
      <c r="R26" s="617"/>
      <c r="S26" s="617"/>
      <c r="T26" s="617"/>
      <c r="U26" s="617"/>
      <c r="V26" s="617"/>
      <c r="W26" s="617"/>
      <c r="X26" s="617"/>
      <c r="Y26" s="617"/>
      <c r="Z26" s="617"/>
      <c r="AA26" s="617"/>
      <c r="AB26" s="617"/>
      <c r="AC26" s="617"/>
      <c r="AD26" s="617"/>
      <c r="AE26" s="617"/>
      <c r="AF26" s="617"/>
      <c r="AG26" s="617"/>
      <c r="AH26" s="617"/>
      <c r="AI26" s="617"/>
      <c r="AJ26" s="617"/>
      <c r="AK26" s="617"/>
      <c r="AL26" s="617"/>
      <c r="AM26" s="617"/>
      <c r="AN26" s="38"/>
      <c r="AO26" s="26"/>
      <c r="AP26" s="26"/>
      <c r="AQ26" s="26"/>
      <c r="AR26" s="26"/>
      <c r="AS26" s="26"/>
      <c r="AT26" s="27"/>
      <c r="AU26" s="27"/>
      <c r="AV26" s="28"/>
      <c r="AW26" s="28"/>
      <c r="AX26" s="28"/>
      <c r="AY26" s="28"/>
      <c r="AZ26" s="28"/>
      <c r="BA26" s="28"/>
      <c r="BB26" s="28"/>
      <c r="BC26" s="28"/>
      <c r="BD26" s="28"/>
      <c r="BG26" s="30"/>
      <c r="BH26" s="31"/>
      <c r="BI26" s="32"/>
      <c r="BJ26" s="32"/>
      <c r="BK26" s="32"/>
      <c r="BL26" s="32"/>
      <c r="BM26" s="32"/>
      <c r="BN26" s="32"/>
      <c r="BO26" s="32"/>
      <c r="BP26" s="32"/>
      <c r="BQ26" s="33"/>
      <c r="BR26" s="489"/>
      <c r="BS26" s="490"/>
      <c r="BT26" s="490"/>
      <c r="BU26" s="490"/>
      <c r="BV26" s="490"/>
      <c r="BW26" s="490"/>
      <c r="BX26" s="491"/>
      <c r="BY26" s="524"/>
      <c r="BZ26" s="524"/>
      <c r="CA26" s="417"/>
      <c r="CB26" s="80"/>
      <c r="CC26" s="80"/>
      <c r="CD26" s="80"/>
      <c r="CE26" s="80"/>
      <c r="CF26" s="80"/>
      <c r="CG26" s="80"/>
      <c r="CH26" s="80"/>
      <c r="CI26" s="80"/>
      <c r="CJ26" s="80"/>
      <c r="CK26" s="183"/>
      <c r="CL26" s="34"/>
      <c r="CM26" s="20"/>
      <c r="CN26" s="2"/>
      <c r="CO26" s="185"/>
      <c r="CP26" s="2"/>
      <c r="CQ26" s="2"/>
      <c r="CR26" s="185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511"/>
      <c r="DD26" s="511"/>
      <c r="DE26" s="511"/>
      <c r="DF26" s="511"/>
      <c r="DG26" s="511"/>
      <c r="DH26" s="511"/>
      <c r="DI26" s="511"/>
      <c r="DJ26" s="511"/>
      <c r="DK26" s="511"/>
      <c r="DL26" s="511"/>
      <c r="DM26" s="511"/>
      <c r="DN26" s="511"/>
      <c r="DO26" s="511"/>
      <c r="DP26" s="511"/>
      <c r="DQ26" s="511"/>
      <c r="DR26" s="511"/>
      <c r="DS26" s="511"/>
      <c r="DT26" s="511"/>
      <c r="DU26" s="511"/>
      <c r="DV26" s="511"/>
      <c r="DW26" s="511"/>
      <c r="DX26" s="511"/>
      <c r="DY26" s="511"/>
      <c r="DZ26" s="511"/>
      <c r="EA26" s="511"/>
      <c r="EB26" s="515"/>
      <c r="EC26" s="515"/>
      <c r="ED26" s="515"/>
      <c r="EE26" s="515"/>
      <c r="EF26" s="515"/>
      <c r="EG26" s="515"/>
      <c r="EH26" s="515"/>
      <c r="EI26" s="515"/>
      <c r="EJ26" s="515"/>
      <c r="EK26" s="3"/>
      <c r="EL26" s="3"/>
      <c r="EM26" s="34"/>
      <c r="EN26" s="34"/>
      <c r="EO26" s="34"/>
      <c r="EP26" s="213"/>
      <c r="EQ26" s="213"/>
      <c r="ER26" s="213"/>
      <c r="ES26" s="34"/>
      <c r="ET26" s="34"/>
      <c r="EU26" s="202"/>
      <c r="EV26" s="34"/>
      <c r="EW26" s="34"/>
      <c r="EX26" s="34"/>
      <c r="EY26" s="34"/>
      <c r="EZ26" s="34"/>
      <c r="FA26" s="34"/>
      <c r="FB26" s="34"/>
      <c r="FC26" s="2"/>
      <c r="FD26" s="20"/>
      <c r="FE26" s="20"/>
      <c r="FF26" s="20"/>
      <c r="FG26" s="20"/>
      <c r="FH26" s="20"/>
      <c r="FI26" s="20"/>
      <c r="FJ26" s="20"/>
      <c r="FK26" s="326"/>
      <c r="FL26" s="326"/>
      <c r="FM26" s="326"/>
      <c r="FN26" s="326"/>
      <c r="FP26" s="326"/>
      <c r="FQ26" s="326"/>
      <c r="FR26" s="326"/>
      <c r="FS26" s="326"/>
      <c r="GF26" s="403" t="s">
        <v>153</v>
      </c>
      <c r="GG26" s="405" t="s">
        <v>154</v>
      </c>
      <c r="GH26" s="2"/>
      <c r="GJ26" s="20"/>
    </row>
    <row r="27" spans="1:189" ht="39.75" customHeight="1" hidden="1" thickBot="1">
      <c r="A27" s="143"/>
      <c r="B27" s="151"/>
      <c r="G27" s="61">
        <f>C31-$Y$7</f>
        <v>440014</v>
      </c>
      <c r="N27" s="616"/>
      <c r="O27" s="616"/>
      <c r="P27" s="616"/>
      <c r="Q27" s="616"/>
      <c r="R27" s="616"/>
      <c r="S27" s="616"/>
      <c r="T27" s="616"/>
      <c r="U27" s="616"/>
      <c r="V27" s="616"/>
      <c r="W27" s="616"/>
      <c r="X27" s="616"/>
      <c r="Y27" s="616"/>
      <c r="Z27" s="616"/>
      <c r="AA27" s="616"/>
      <c r="AB27" s="616"/>
      <c r="AC27" s="616"/>
      <c r="AD27" s="616"/>
      <c r="AE27" s="616"/>
      <c r="AF27" s="616"/>
      <c r="AG27" s="616"/>
      <c r="AH27" s="616"/>
      <c r="AI27" s="616"/>
      <c r="AJ27" s="616"/>
      <c r="AK27" s="616"/>
      <c r="AL27" s="616"/>
      <c r="AM27" s="616"/>
      <c r="AN27" s="81"/>
      <c r="AP27" s="82"/>
      <c r="BG27" s="83" t="str">
        <f>BG29&amp;BG30</f>
        <v>您將在緩衝期後的【127.1.1~127.12.31】期間，達到符合「年齡滿65歲、年資滿15年」之屆齡退休擇領月退休金條件</v>
      </c>
      <c r="BH27" s="3">
        <v>55</v>
      </c>
      <c r="BI27" s="4">
        <v>60</v>
      </c>
      <c r="BJ27" s="4">
        <v>65</v>
      </c>
      <c r="BK27" s="4">
        <v>55</v>
      </c>
      <c r="BL27" s="4"/>
      <c r="BM27" s="4">
        <v>60</v>
      </c>
      <c r="BN27" s="4"/>
      <c r="BO27" s="4">
        <v>65</v>
      </c>
      <c r="BP27" s="4"/>
      <c r="BQ27" s="5"/>
      <c r="BR27" s="492"/>
      <c r="BS27" s="493"/>
      <c r="BT27" s="493"/>
      <c r="BU27" s="493"/>
      <c r="BV27" s="493"/>
      <c r="BW27" s="493"/>
      <c r="BX27" s="494"/>
      <c r="BY27" s="525"/>
      <c r="BZ27" s="525"/>
      <c r="CA27" s="418"/>
      <c r="CB27" s="84"/>
      <c r="CC27" s="84"/>
      <c r="CD27" s="84"/>
      <c r="CE27" s="84"/>
      <c r="CF27" s="84"/>
      <c r="CG27" s="84"/>
      <c r="CH27" s="84"/>
      <c r="CI27" s="84"/>
      <c r="CJ27" s="84"/>
      <c r="CK27" s="528" t="s">
        <v>35</v>
      </c>
      <c r="CL27" s="459" t="s">
        <v>36</v>
      </c>
      <c r="CM27" s="459" t="s">
        <v>37</v>
      </c>
      <c r="CN27" s="471" t="s">
        <v>38</v>
      </c>
      <c r="CO27" s="522" t="s">
        <v>39</v>
      </c>
      <c r="CP27" s="522"/>
      <c r="CQ27" s="471" t="s">
        <v>40</v>
      </c>
      <c r="CR27" s="514" t="s">
        <v>41</v>
      </c>
      <c r="CS27" s="514"/>
      <c r="CT27" s="471" t="s">
        <v>42</v>
      </c>
      <c r="CU27" s="472"/>
      <c r="CV27" s="472"/>
      <c r="CW27" s="471" t="s">
        <v>43</v>
      </c>
      <c r="CX27" s="472"/>
      <c r="CY27" s="472"/>
      <c r="CZ27" s="414" t="s">
        <v>44</v>
      </c>
      <c r="DA27" s="414" t="s">
        <v>45</v>
      </c>
      <c r="DB27" s="414" t="s">
        <v>46</v>
      </c>
      <c r="DC27" s="511"/>
      <c r="DD27" s="511"/>
      <c r="DE27" s="511"/>
      <c r="DF27" s="511"/>
      <c r="DG27" s="511"/>
      <c r="DH27" s="511"/>
      <c r="DI27" s="511"/>
      <c r="DJ27" s="511"/>
      <c r="DK27" s="511"/>
      <c r="DL27" s="511"/>
      <c r="DM27" s="511"/>
      <c r="DN27" s="511"/>
      <c r="DO27" s="511"/>
      <c r="DP27" s="511"/>
      <c r="DQ27" s="511"/>
      <c r="DR27" s="511"/>
      <c r="DS27" s="511"/>
      <c r="DT27" s="511"/>
      <c r="DU27" s="511"/>
      <c r="DV27" s="511"/>
      <c r="DW27" s="511"/>
      <c r="DX27" s="511"/>
      <c r="DY27" s="511"/>
      <c r="DZ27" s="511"/>
      <c r="EA27" s="511"/>
      <c r="EB27" s="515"/>
      <c r="EC27" s="515"/>
      <c r="ED27" s="515"/>
      <c r="EE27" s="515"/>
      <c r="EF27" s="515"/>
      <c r="EG27" s="515"/>
      <c r="EH27" s="515"/>
      <c r="EI27" s="515"/>
      <c r="EJ27" s="515"/>
      <c r="EK27" s="536" t="s">
        <v>76</v>
      </c>
      <c r="EL27" s="537"/>
      <c r="EM27" s="8"/>
      <c r="EN27" s="8"/>
      <c r="EO27" s="8"/>
      <c r="EP27" s="212"/>
      <c r="EQ27" s="212"/>
      <c r="ER27" s="212"/>
      <c r="ES27" s="8"/>
      <c r="ET27" s="8"/>
      <c r="EU27" s="201"/>
      <c r="EV27" s="8"/>
      <c r="EW27" s="8"/>
      <c r="EX27" s="8"/>
      <c r="EY27" s="8"/>
      <c r="EZ27" s="8"/>
      <c r="FA27" s="8"/>
      <c r="FB27" s="8"/>
      <c r="FF27" s="330">
        <v>61</v>
      </c>
      <c r="FG27" s="330">
        <v>62</v>
      </c>
      <c r="FH27" s="330">
        <v>63</v>
      </c>
      <c r="FI27" s="330">
        <v>64</v>
      </c>
      <c r="FJ27" s="331"/>
      <c r="FK27" s="332">
        <v>56</v>
      </c>
      <c r="FL27" s="332">
        <v>57</v>
      </c>
      <c r="FM27" s="332">
        <v>58</v>
      </c>
      <c r="FN27" s="332">
        <v>59</v>
      </c>
      <c r="FO27" s="29"/>
      <c r="FP27" s="332">
        <v>56</v>
      </c>
      <c r="FQ27" s="332">
        <v>57</v>
      </c>
      <c r="FR27" s="332">
        <v>58</v>
      </c>
      <c r="FS27" s="332">
        <v>59</v>
      </c>
      <c r="GF27" s="404"/>
      <c r="GG27" s="406"/>
    </row>
    <row r="28" spans="1:192" s="94" customFormat="1" ht="8.25" customHeight="1" thickBot="1" thickTop="1">
      <c r="A28" s="142"/>
      <c r="B28" s="15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91"/>
      <c r="P28" s="91"/>
      <c r="Q28" s="91"/>
      <c r="R28" s="91"/>
      <c r="S28" s="91"/>
      <c r="T28" s="91"/>
      <c r="U28" s="91"/>
      <c r="V28" s="91"/>
      <c r="W28" s="62"/>
      <c r="X28" s="35"/>
      <c r="Y28" s="35"/>
      <c r="Z28" s="35"/>
      <c r="AA28" s="35" t="str">
        <f>IF(ISERROR(INDEX(N31:N113,MATCH("●",AA31:AA113,0)))=TRUE,"【成就時間在可支領全額月退休金之後或同一年，無申請必要】",IF($S$5="公務人員",LEFT(INDEX(N31:N113,MATCH("●",AA31:AA113,0)),3)&amp;MID(Z5,4,6),LEFT(INDEX(N31:N113,MATCH("●",AA31:AA113,0)),3)&amp;EA16&amp;" 起，但實際退休生效日期必須配合學期"))</f>
        <v>107.12.17</v>
      </c>
      <c r="AB28" s="35"/>
      <c r="AC28" s="35"/>
      <c r="AD28" s="35"/>
      <c r="AE28" s="35"/>
      <c r="AF28" s="35" t="e">
        <f>IF(MATCH("●",AF31:AF113,0)=MATCH("★",V31:V113,0),"【成就時間在可支領全額月退休金之後或同一年，無申請必要】",IF($S$5="公務人員",LEFT(INDEX(N31:N113,MATCH("●",AF31:AF113,0)),3)&amp;MID(Z5,4,6),LEFT(INDEX(N31:N113,MATCH("●",AF31:AF113,0)),3)&amp;EA17&amp;" 起，但實際退休生效日期必須配合學期"))</f>
        <v>#N/A</v>
      </c>
      <c r="AG28" s="35"/>
      <c r="AH28" s="35"/>
      <c r="AI28" s="35"/>
      <c r="AJ28" s="35"/>
      <c r="AK28" s="35"/>
      <c r="AL28" s="35"/>
      <c r="AM28" s="35" t="e">
        <f>IF(OR(MATCH(-20%,AM31:AM113,0)&gt;=MATCH("★",V31:V113,0),(MIN(AM31:AM113)=0)),"【成就時間在可支領全額月退休金之後或同一年，無申請必要】",IF($S$5="公務人員",LEFT(INDEX(N31:N113,MATCH(MIN(AM31:AM113),AM31:AM113,0)),3)&amp;MID(Z5,4,6),LEFT(INDEX(N31:N113,MATCH(MIN(AM31:AM113),AM31:AM113,0)),3)&amp;EA18&amp;" 起，但實際退休生效日期必須配合學期")&amp;" 當年須減發月退休金之額度為 "&amp;MIN(AM31:AM113)*100*-1&amp;"%")</f>
        <v>#N/A</v>
      </c>
      <c r="AN28" s="35"/>
      <c r="AO28" s="90"/>
      <c r="AP28" s="90"/>
      <c r="AQ28" s="90"/>
      <c r="AR28" s="90"/>
      <c r="AS28" s="90"/>
      <c r="AT28" s="92"/>
      <c r="AU28" s="92"/>
      <c r="AV28" s="93"/>
      <c r="AW28" s="93"/>
      <c r="AX28" s="93"/>
      <c r="AY28" s="93"/>
      <c r="AZ28" s="93"/>
      <c r="BA28" s="93"/>
      <c r="BB28" s="93"/>
      <c r="BC28" s="93"/>
      <c r="BD28" s="93"/>
      <c r="BG28" s="95"/>
      <c r="BH28" s="96"/>
      <c r="BI28" s="97"/>
      <c r="BJ28" s="97"/>
      <c r="BK28" s="97"/>
      <c r="BL28" s="97"/>
      <c r="BM28" s="97"/>
      <c r="BN28" s="97"/>
      <c r="BO28" s="97"/>
      <c r="BP28" s="97"/>
      <c r="BQ28" s="98"/>
      <c r="BR28" s="419" t="s">
        <v>47</v>
      </c>
      <c r="BS28" s="477" t="s">
        <v>48</v>
      </c>
      <c r="BT28" s="478"/>
      <c r="BU28" s="479"/>
      <c r="BV28" s="517" t="s">
        <v>49</v>
      </c>
      <c r="BW28" s="478"/>
      <c r="BX28" s="479"/>
      <c r="BY28" s="519" t="s">
        <v>73</v>
      </c>
      <c r="BZ28" s="478"/>
      <c r="CA28" s="520"/>
      <c r="CB28" s="99"/>
      <c r="CC28" s="99"/>
      <c r="CD28" s="99"/>
      <c r="CE28" s="99"/>
      <c r="CF28" s="99"/>
      <c r="CG28" s="99"/>
      <c r="CH28" s="531"/>
      <c r="CI28" s="531"/>
      <c r="CJ28" s="531"/>
      <c r="CK28" s="529"/>
      <c r="CL28" s="460"/>
      <c r="CM28" s="460"/>
      <c r="CN28" s="516"/>
      <c r="CO28" s="522"/>
      <c r="CP28" s="522"/>
      <c r="CQ28" s="472"/>
      <c r="CR28" s="514"/>
      <c r="CS28" s="514"/>
      <c r="CT28" s="472"/>
      <c r="CU28" s="472"/>
      <c r="CV28" s="472"/>
      <c r="CW28" s="472"/>
      <c r="CX28" s="472"/>
      <c r="CY28" s="472"/>
      <c r="CZ28" s="415"/>
      <c r="DA28" s="415"/>
      <c r="DB28" s="415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86"/>
      <c r="EB28" s="74"/>
      <c r="EC28" s="74"/>
      <c r="ED28" s="74"/>
      <c r="EE28" s="74"/>
      <c r="EF28" s="102"/>
      <c r="EG28" s="102"/>
      <c r="EH28" s="102"/>
      <c r="EI28" s="102"/>
      <c r="EJ28" s="88"/>
      <c r="EK28" s="537"/>
      <c r="EL28" s="537"/>
      <c r="EM28" s="34"/>
      <c r="EN28" s="142"/>
      <c r="EO28" s="142"/>
      <c r="EP28" s="213"/>
      <c r="EQ28" s="213"/>
      <c r="ER28" s="213"/>
      <c r="ES28" s="142"/>
      <c r="ET28" s="142"/>
      <c r="EU28" s="203"/>
      <c r="EV28" s="142"/>
      <c r="EW28" s="142"/>
      <c r="EX28" s="142"/>
      <c r="EY28" s="142"/>
      <c r="EZ28" s="142"/>
      <c r="FA28" s="142"/>
      <c r="FB28" s="142"/>
      <c r="FC28" s="219"/>
      <c r="FD28" s="217"/>
      <c r="FE28" s="217"/>
      <c r="FF28" s="217"/>
      <c r="FG28" s="217"/>
      <c r="FH28" s="217"/>
      <c r="FI28" s="217"/>
      <c r="FJ28" s="217"/>
      <c r="FK28" s="327"/>
      <c r="FL28" s="327"/>
      <c r="FM28" s="327"/>
      <c r="FN28" s="327"/>
      <c r="FP28" s="327"/>
      <c r="FQ28" s="327"/>
      <c r="FR28" s="327"/>
      <c r="FS28" s="327"/>
      <c r="GF28" s="404"/>
      <c r="GG28" s="406"/>
      <c r="GH28" s="219"/>
      <c r="GJ28" s="217"/>
    </row>
    <row r="29" spans="1:192" s="29" customFormat="1" ht="23.25" customHeight="1">
      <c r="A29" s="144"/>
      <c r="B29" s="150"/>
      <c r="C29" s="26"/>
      <c r="D29" s="612" t="s">
        <v>50</v>
      </c>
      <c r="E29" s="612"/>
      <c r="F29" s="612"/>
      <c r="G29" s="26"/>
      <c r="H29" s="26"/>
      <c r="I29" s="26"/>
      <c r="J29" s="26"/>
      <c r="K29" s="26"/>
      <c r="L29" s="26"/>
      <c r="M29" s="26"/>
      <c r="N29" s="592" t="s">
        <v>87</v>
      </c>
      <c r="O29" s="593"/>
      <c r="P29" s="593"/>
      <c r="Q29" s="593"/>
      <c r="R29" s="475" t="s">
        <v>88</v>
      </c>
      <c r="S29" s="596" t="s">
        <v>89</v>
      </c>
      <c r="T29" s="597"/>
      <c r="U29" s="598"/>
      <c r="V29" s="438" t="s">
        <v>158</v>
      </c>
      <c r="W29" s="433" t="s">
        <v>109</v>
      </c>
      <c r="X29" s="434"/>
      <c r="Y29" s="435"/>
      <c r="Z29" s="432" t="s">
        <v>151</v>
      </c>
      <c r="AA29" s="412"/>
      <c r="AB29" s="412"/>
      <c r="AC29" s="412"/>
      <c r="AD29" s="412"/>
      <c r="AE29" s="412"/>
      <c r="AF29" s="413"/>
      <c r="AG29" s="411" t="s">
        <v>150</v>
      </c>
      <c r="AH29" s="412"/>
      <c r="AI29" s="412"/>
      <c r="AJ29" s="412"/>
      <c r="AK29" s="412"/>
      <c r="AL29" s="412"/>
      <c r="AM29" s="413"/>
      <c r="AN29" s="103"/>
      <c r="AO29" s="26" t="s">
        <v>51</v>
      </c>
      <c r="AP29" s="26" t="s">
        <v>52</v>
      </c>
      <c r="AQ29" s="26" t="s">
        <v>108</v>
      </c>
      <c r="AR29" s="26"/>
      <c r="AS29" s="26" t="s">
        <v>53</v>
      </c>
      <c r="AT29" s="26" t="s">
        <v>54</v>
      </c>
      <c r="AU29" s="26" t="s">
        <v>55</v>
      </c>
      <c r="AV29" s="26" t="s">
        <v>56</v>
      </c>
      <c r="AW29" s="104"/>
      <c r="AX29" s="104"/>
      <c r="AY29" s="104"/>
      <c r="AZ29" s="104"/>
      <c r="BA29" s="104"/>
      <c r="BB29" s="104"/>
      <c r="BC29" s="28"/>
      <c r="BD29" s="28"/>
      <c r="BE29" s="28"/>
      <c r="BF29" s="104"/>
      <c r="BG29" s="105">
        <f>CONCATENATE(BG31,BG32,BG33,BG34,BG35,BG36,BG37,BG38,BG39,BG40,BG41,BG42,BG43,BG44,BG45,BG46)</f>
      </c>
      <c r="BH29" s="31">
        <f>INDEX(B31:B113,MATCH(1,BH31:BH113,0),1)</f>
        <v>117</v>
      </c>
      <c r="BI29" s="31">
        <f>INDEX(B31:B113,MATCH(1,BI31:BI113,0),1)</f>
        <v>122</v>
      </c>
      <c r="BJ29" s="31">
        <f>INDEX(B31:B113,MATCH(1,BJ31:BJ113,0),1)</f>
        <v>126</v>
      </c>
      <c r="BK29" s="32"/>
      <c r="BL29" s="32"/>
      <c r="BM29" s="32"/>
      <c r="BN29" s="32"/>
      <c r="BO29" s="32"/>
      <c r="BP29" s="32"/>
      <c r="BQ29" s="33"/>
      <c r="BR29" s="420"/>
      <c r="BS29" s="480"/>
      <c r="BT29" s="481"/>
      <c r="BU29" s="482"/>
      <c r="BV29" s="518"/>
      <c r="BW29" s="481"/>
      <c r="BX29" s="482"/>
      <c r="BY29" s="518"/>
      <c r="BZ29" s="481"/>
      <c r="CA29" s="521"/>
      <c r="CB29" s="106"/>
      <c r="CC29" s="106"/>
      <c r="CD29" s="106"/>
      <c r="CE29" s="540"/>
      <c r="CF29" s="541"/>
      <c r="CG29" s="542"/>
      <c r="CH29" s="531"/>
      <c r="CI29" s="531"/>
      <c r="CJ29" s="531"/>
      <c r="CK29" s="529"/>
      <c r="CL29" s="460"/>
      <c r="CM29" s="460"/>
      <c r="CN29" s="516"/>
      <c r="CO29" s="522"/>
      <c r="CP29" s="522"/>
      <c r="CQ29" s="472"/>
      <c r="CR29" s="514"/>
      <c r="CS29" s="514"/>
      <c r="CT29" s="472"/>
      <c r="CU29" s="472"/>
      <c r="CV29" s="472"/>
      <c r="CW29" s="472"/>
      <c r="CX29" s="472"/>
      <c r="CY29" s="472"/>
      <c r="CZ29" s="415"/>
      <c r="DA29" s="415"/>
      <c r="DB29" s="415"/>
      <c r="DC29" s="510">
        <v>75</v>
      </c>
      <c r="DD29" s="510"/>
      <c r="DE29" s="510"/>
      <c r="DF29" s="510"/>
      <c r="DG29" s="510"/>
      <c r="DH29" s="510"/>
      <c r="DI29" s="510"/>
      <c r="DJ29" s="510"/>
      <c r="DK29" s="510"/>
      <c r="DL29" s="100"/>
      <c r="DM29" s="100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7"/>
      <c r="EB29" s="533">
        <v>75</v>
      </c>
      <c r="EC29" s="533"/>
      <c r="ED29" s="533"/>
      <c r="EE29" s="533"/>
      <c r="EF29" s="102"/>
      <c r="EG29" s="102"/>
      <c r="EH29" s="102"/>
      <c r="EI29" s="102"/>
      <c r="EJ29" s="108"/>
      <c r="EK29" s="537"/>
      <c r="EL29" s="537"/>
      <c r="EM29" s="34"/>
      <c r="EN29" s="34"/>
      <c r="EO29" s="34"/>
      <c r="EP29" s="213" t="s">
        <v>111</v>
      </c>
      <c r="EQ29" s="213" t="s">
        <v>112</v>
      </c>
      <c r="ER29" s="213" t="s">
        <v>103</v>
      </c>
      <c r="ES29" s="34"/>
      <c r="ET29" s="34"/>
      <c r="EU29" s="202"/>
      <c r="EV29" s="34"/>
      <c r="EW29" s="34"/>
      <c r="EX29" s="34"/>
      <c r="EY29" s="34"/>
      <c r="EZ29" s="34"/>
      <c r="FA29" s="34"/>
      <c r="FB29" s="34"/>
      <c r="FC29" s="405" t="s">
        <v>107</v>
      </c>
      <c r="FD29" s="20"/>
      <c r="FE29" s="20"/>
      <c r="FF29" s="20" t="s">
        <v>144</v>
      </c>
      <c r="FG29" s="20" t="s">
        <v>144</v>
      </c>
      <c r="FH29" s="20" t="s">
        <v>144</v>
      </c>
      <c r="FI29" s="20" t="s">
        <v>144</v>
      </c>
      <c r="FJ29" s="20"/>
      <c r="FK29" s="326" t="s">
        <v>145</v>
      </c>
      <c r="FL29" s="326" t="s">
        <v>145</v>
      </c>
      <c r="FM29" s="326" t="s">
        <v>145</v>
      </c>
      <c r="FN29" s="326" t="s">
        <v>145</v>
      </c>
      <c r="FP29" s="326" t="s">
        <v>145</v>
      </c>
      <c r="FQ29" s="326" t="s">
        <v>145</v>
      </c>
      <c r="FR29" s="326" t="s">
        <v>145</v>
      </c>
      <c r="FS29" s="326" t="s">
        <v>145</v>
      </c>
      <c r="GF29" s="404"/>
      <c r="GG29" s="406"/>
      <c r="GH29" s="2"/>
      <c r="GJ29" s="20"/>
    </row>
    <row r="30" spans="1:192" s="29" customFormat="1" ht="33" customHeight="1" thickBot="1">
      <c r="A30" s="144"/>
      <c r="B30" s="150"/>
      <c r="C30" s="26" t="s">
        <v>57</v>
      </c>
      <c r="D30" s="26" t="s">
        <v>1</v>
      </c>
      <c r="E30" s="26" t="s">
        <v>2</v>
      </c>
      <c r="F30" s="26" t="s">
        <v>3</v>
      </c>
      <c r="G30" s="26" t="s">
        <v>58</v>
      </c>
      <c r="H30" s="602" t="s">
        <v>59</v>
      </c>
      <c r="I30" s="602"/>
      <c r="J30" s="602"/>
      <c r="K30" s="602" t="s">
        <v>60</v>
      </c>
      <c r="L30" s="602"/>
      <c r="M30" s="602"/>
      <c r="N30" s="594"/>
      <c r="O30" s="595"/>
      <c r="P30" s="595"/>
      <c r="Q30" s="595"/>
      <c r="R30" s="476"/>
      <c r="S30" s="223" t="s">
        <v>0</v>
      </c>
      <c r="T30" s="224" t="s">
        <v>4</v>
      </c>
      <c r="U30" s="225" t="s">
        <v>5</v>
      </c>
      <c r="V30" s="439"/>
      <c r="W30" s="436"/>
      <c r="X30" s="436"/>
      <c r="Y30" s="437"/>
      <c r="Z30" s="301" t="s">
        <v>120</v>
      </c>
      <c r="AA30" s="302" t="s">
        <v>121</v>
      </c>
      <c r="AB30" s="302" t="s">
        <v>136</v>
      </c>
      <c r="AC30" s="302" t="s">
        <v>137</v>
      </c>
      <c r="AD30" s="302" t="s">
        <v>138</v>
      </c>
      <c r="AE30" s="302" t="s">
        <v>139</v>
      </c>
      <c r="AF30" s="303" t="s">
        <v>122</v>
      </c>
      <c r="AG30" s="304" t="s">
        <v>130</v>
      </c>
      <c r="AH30" s="302" t="s">
        <v>131</v>
      </c>
      <c r="AI30" s="302" t="s">
        <v>140</v>
      </c>
      <c r="AJ30" s="302" t="s">
        <v>141</v>
      </c>
      <c r="AK30" s="302" t="s">
        <v>142</v>
      </c>
      <c r="AL30" s="302" t="s">
        <v>143</v>
      </c>
      <c r="AM30" s="305" t="s">
        <v>132</v>
      </c>
      <c r="AN30" s="103"/>
      <c r="AO30" s="109">
        <v>0</v>
      </c>
      <c r="AP30" s="109">
        <v>0</v>
      </c>
      <c r="AQ30" s="109">
        <v>0</v>
      </c>
      <c r="AR30" s="109">
        <v>0</v>
      </c>
      <c r="AS30" s="109"/>
      <c r="AT30" s="109"/>
      <c r="AU30" s="109"/>
      <c r="AV30" s="109"/>
      <c r="AW30" s="104" t="s">
        <v>19</v>
      </c>
      <c r="AX30" s="104" t="s">
        <v>20</v>
      </c>
      <c r="AY30" s="104" t="s">
        <v>21</v>
      </c>
      <c r="AZ30" s="104" t="s">
        <v>0</v>
      </c>
      <c r="BA30" s="104"/>
      <c r="BB30" s="104" t="s">
        <v>22</v>
      </c>
      <c r="BC30" s="28"/>
      <c r="BD30" s="28"/>
      <c r="BE30" s="28"/>
      <c r="BF30" s="104"/>
      <c r="BG30" s="110" t="str">
        <f>CONCATENATE(BG47,BG48,BG49,BG50,BG51,BG52,BG53,BG54,BG55,BG56,BG57,BG58,BG59,BG60,BG61,BG62,BG63,BG64,BG65,BG66)</f>
        <v>您將在緩衝期後的【127.1.1~127.12.31】期間，達到符合「年齡滿65歲、年資滿15年」之屆齡退休擇領月退休金條件</v>
      </c>
      <c r="BH30" s="31"/>
      <c r="BI30" s="31"/>
      <c r="BJ30" s="31"/>
      <c r="BK30" s="32"/>
      <c r="BL30" s="32"/>
      <c r="BM30" s="32"/>
      <c r="BN30" s="32"/>
      <c r="BO30" s="32"/>
      <c r="BP30" s="32"/>
      <c r="BQ30" s="33"/>
      <c r="BR30" s="421"/>
      <c r="BS30" s="160" t="s">
        <v>1</v>
      </c>
      <c r="BT30" s="161" t="s">
        <v>2</v>
      </c>
      <c r="BU30" s="162" t="s">
        <v>3</v>
      </c>
      <c r="BV30" s="163" t="s">
        <v>1</v>
      </c>
      <c r="BW30" s="164" t="s">
        <v>2</v>
      </c>
      <c r="BX30" s="165" t="s">
        <v>3</v>
      </c>
      <c r="BY30" s="166" t="s">
        <v>1</v>
      </c>
      <c r="BZ30" s="167" t="s">
        <v>2</v>
      </c>
      <c r="CA30" s="168" t="s">
        <v>3</v>
      </c>
      <c r="CB30" s="111"/>
      <c r="CC30" s="111"/>
      <c r="CD30" s="112"/>
      <c r="CE30" s="112"/>
      <c r="CF30" s="112"/>
      <c r="CG30" s="112"/>
      <c r="CH30" s="532"/>
      <c r="CI30" s="532"/>
      <c r="CJ30" s="532"/>
      <c r="CK30" s="530"/>
      <c r="CL30" s="461"/>
      <c r="CM30" s="461"/>
      <c r="CN30" s="516"/>
      <c r="CO30" s="185" t="s">
        <v>2</v>
      </c>
      <c r="CP30" s="2" t="s">
        <v>3</v>
      </c>
      <c r="CQ30" s="472"/>
      <c r="CR30" s="185" t="s">
        <v>2</v>
      </c>
      <c r="CS30" s="2" t="s">
        <v>3</v>
      </c>
      <c r="CT30" s="85" t="s">
        <v>7</v>
      </c>
      <c r="CU30" s="85" t="s">
        <v>8</v>
      </c>
      <c r="CV30" s="85" t="s">
        <v>6</v>
      </c>
      <c r="CW30" s="85" t="s">
        <v>7</v>
      </c>
      <c r="CX30" s="85" t="s">
        <v>8</v>
      </c>
      <c r="CY30" s="85" t="s">
        <v>6</v>
      </c>
      <c r="CZ30" s="415"/>
      <c r="DA30" s="415"/>
      <c r="DB30" s="415"/>
      <c r="DC30" s="113" t="s">
        <v>9</v>
      </c>
      <c r="DD30" s="114" t="s">
        <v>12</v>
      </c>
      <c r="DE30" s="114" t="s">
        <v>90</v>
      </c>
      <c r="DF30" s="114" t="s">
        <v>91</v>
      </c>
      <c r="DG30" s="114" t="s">
        <v>11</v>
      </c>
      <c r="DH30" s="115" t="s">
        <v>10</v>
      </c>
      <c r="DI30" s="116" t="s">
        <v>61</v>
      </c>
      <c r="DJ30" s="116" t="s">
        <v>62</v>
      </c>
      <c r="DK30" s="113" t="s">
        <v>63</v>
      </c>
      <c r="DL30" s="114" t="s">
        <v>64</v>
      </c>
      <c r="DM30" s="114" t="s">
        <v>65</v>
      </c>
      <c r="DN30" s="86">
        <v>55</v>
      </c>
      <c r="DO30" s="86" t="s">
        <v>80</v>
      </c>
      <c r="DP30" s="87" t="s">
        <v>66</v>
      </c>
      <c r="DQ30" s="86">
        <v>60</v>
      </c>
      <c r="DR30" s="86" t="s">
        <v>81</v>
      </c>
      <c r="DS30" s="87" t="s">
        <v>67</v>
      </c>
      <c r="DT30" s="86">
        <v>85</v>
      </c>
      <c r="DU30" s="86" t="s">
        <v>82</v>
      </c>
      <c r="DV30" s="87" t="s">
        <v>79</v>
      </c>
      <c r="DW30" s="86">
        <v>65</v>
      </c>
      <c r="DX30" s="86" t="s">
        <v>83</v>
      </c>
      <c r="DY30" s="87" t="s">
        <v>68</v>
      </c>
      <c r="DZ30" s="87"/>
      <c r="EA30" s="86" t="s">
        <v>69</v>
      </c>
      <c r="EB30" s="89" t="s">
        <v>9</v>
      </c>
      <c r="EC30" s="89" t="s">
        <v>10</v>
      </c>
      <c r="ED30" s="89" t="s">
        <v>70</v>
      </c>
      <c r="EE30" s="89" t="s">
        <v>63</v>
      </c>
      <c r="EF30" s="88">
        <v>55</v>
      </c>
      <c r="EG30" s="88">
        <v>60</v>
      </c>
      <c r="EH30" s="381">
        <v>85</v>
      </c>
      <c r="EI30" s="88">
        <v>65</v>
      </c>
      <c r="EJ30" s="88" t="s">
        <v>69</v>
      </c>
      <c r="EK30" s="537"/>
      <c r="EL30" s="537"/>
      <c r="EM30" s="34"/>
      <c r="EN30" s="34"/>
      <c r="EO30" s="34"/>
      <c r="EP30" s="213" t="str">
        <f>LEFT(INDEX(N31:N113,MATCH("●",EP31:EP113,0)),3)</f>
        <v>122</v>
      </c>
      <c r="EQ30" s="213" t="str">
        <f>LEFT(INDEX(N31:N113,MATCH("●",EQ31:EQ113,0)),3)</f>
        <v>112</v>
      </c>
      <c r="ER30" s="213" t="str">
        <f>LEFT(INDEX(N31:N113,MATCH(MIN(AM31:AM113),AM31:AM113,0)),3)</f>
        <v>122</v>
      </c>
      <c r="ES30" s="34"/>
      <c r="ET30" s="34"/>
      <c r="EU30" s="202"/>
      <c r="EV30" s="34"/>
      <c r="EW30" s="34"/>
      <c r="EX30" s="34"/>
      <c r="EY30" s="34"/>
      <c r="EZ30" s="34"/>
      <c r="FA30" s="34"/>
      <c r="FB30" s="34"/>
      <c r="FC30" s="455"/>
      <c r="FD30" s="20"/>
      <c r="FE30" s="20"/>
      <c r="FF30" s="330"/>
      <c r="FG30" s="330"/>
      <c r="FH30" s="330"/>
      <c r="FI30" s="330"/>
      <c r="FJ30" s="331"/>
      <c r="FK30" s="332"/>
      <c r="FL30" s="332"/>
      <c r="FM30" s="332"/>
      <c r="FN30" s="332"/>
      <c r="FP30" s="332"/>
      <c r="FQ30" s="332"/>
      <c r="FR30" s="332"/>
      <c r="FS30" s="332"/>
      <c r="GF30" s="404"/>
      <c r="GG30" s="406"/>
      <c r="GH30" s="2" t="s">
        <v>155</v>
      </c>
      <c r="GJ30" s="20"/>
    </row>
    <row r="31" spans="1:193" s="29" customFormat="1" ht="15" customHeight="1" thickTop="1">
      <c r="A31" s="144"/>
      <c r="B31" s="150">
        <f>IF($S$5="公務人員",106,106)</f>
        <v>106</v>
      </c>
      <c r="C31" s="26">
        <f>VALUE(IF($S$5="公務人員",B31+1911&amp;"1231",B31+1911&amp;"1231"))</f>
        <v>20171231</v>
      </c>
      <c r="D31" s="26" t="str">
        <f>LEFT(C31,4)</f>
        <v>2017</v>
      </c>
      <c r="E31" s="26" t="str">
        <f>MID(C31,5,2)</f>
        <v>12</v>
      </c>
      <c r="F31" s="26" t="str">
        <f>RIGHT(C31,2)</f>
        <v>31</v>
      </c>
      <c r="G31" s="26" t="str">
        <f>D31&amp;"/"&amp;E31&amp;"/"&amp;F31</f>
        <v>2017/12/31</v>
      </c>
      <c r="H31" s="117">
        <f aca="true" t="shared" si="0" ref="H31:H94">DATEDIF($Z$8,G31,"Y")</f>
        <v>24</v>
      </c>
      <c r="I31" s="117">
        <f>IF(IF(G31=DATE(YEAR(G31),MONTH(G31)+1,1)-1,IF(MONTH(G31)&gt;=MONTH($Z$8),MONTH(G31)-MONTH($Z$8),MONTH(4)+12-MONTH($Z$8)+1),IF(MONTH(G31)&gt;=MONTH($Z$8),MONTH(G31)-MONTH($Z$8)-(DAY(G31)&lt;DAY($Z$8))+12*(MONTH(G31)=MONTH($Z$8)),MONTH(G31)+12-MONTH($Z$8)-(DAY(G31)&lt;DAY($Z$8))))=12,0,IF(G31=DATE(YEAR(G31),MONTH(G31)+1,1)-1,IF(MONTH(G31)&gt;=MONTH($Z$8),MONTH(G31)-MONTH($Z$8),MONTH(4)+12-MONTH($Z$8)+1),IF(MONTH(G31)&gt;=MONTH($Z$8),MONTH(G31)-MONTH($Z$8)-(DAY(G31)&lt;DAY($Z$8))+12*(MONTH(G31)=MONTH($Z$8)),MONTH(G31)+12-MONTH($Z$8)-(DAY(G31)&lt;DAY($Z$8)))))</f>
        <v>0</v>
      </c>
      <c r="J31" s="26">
        <f>IF(BQ8=1,"*",IF(G31=DATE(YEAR(G31),MONTH(G31)+1,1)-1,IF($Z$8=DATE(YEAR($Z$8),MONTH($Z$8)+1,1)-1,0,DAY(DATE(YEAR($Z$8),MONTH($Z$8)+1,1)-1)-DAY($Z$8)),IF(DAY(G31)&gt;=DAY($Z$8),DAY(G31)-DAY($Z$8),DATE(YEAR($Z$8),MONTH($Z$8)+1,1)-1-$Z$8+DAY(G31))))</f>
        <v>18</v>
      </c>
      <c r="K31" s="118">
        <f aca="true" t="shared" si="1" ref="K31:K62">IF($AN$9+$AN$10=0,H31,INT((((IF(OR(AND(I31+$U$10=11,J31+$W$10&gt;=30),I31+$U$10&gt;11),$S$10+H31+1,$S$10+H31))*12+(IF(AND(I31+$U$10=11,J31+$W$10&gt;=30),0,IF(J31+$W$10&gt;=30,MOD(I31+$U$10,12)+1,MOD(I31+$U$10,12)))))*30+((MOD(J31+$W$10,30)))-($S$9*12+$U$9)*30+$W$9)/360))</f>
        <v>24</v>
      </c>
      <c r="L31" s="118">
        <f aca="true" t="shared" si="2" ref="L31:L62">IF($AN$9+$AN$10=0,I31,IF(((MOD(J31+$W$10,30)))&lt;$W$9,MOD((IF(AND(I31+$U$10=11,J31+$W$10&gt;=30),0,IF(J31+$W$10&gt;=30,MOD(I31+$U$10,12)+1,MOD(I31+$U$10,12))))-$U$9-1,12),MOD((IF(AND(I31+$U$10=11,J31+$W$10&gt;=30),0,IF(J31+$W$10&gt;=30,MOD(I31+$U$10,12)+1,MOD(I31+$U$10,12))))-$U$9,12)))</f>
        <v>0</v>
      </c>
      <c r="M31" s="118">
        <f aca="true" t="shared" si="3" ref="M31:M62">IF($AN$9+$AN$10=0,J31,MOD((MOD(J31+$W$10,30))-$W$9,30))</f>
        <v>18</v>
      </c>
      <c r="N31" s="599" t="str">
        <f>IF($S$5="公務人員",B31&amp;".1.1~"&amp;B31&amp;".12.31",B31&amp;".1.1~"&amp;B31&amp;".12.31")</f>
        <v>106.1.1~106.12.31</v>
      </c>
      <c r="O31" s="600"/>
      <c r="P31" s="600"/>
      <c r="Q31" s="601"/>
      <c r="R31" s="270">
        <f>IF(S5="公務人員",81,75)</f>
        <v>81</v>
      </c>
      <c r="S31" s="338">
        <f>DATEDIF(DATE($S$7+1911,$U$7,$W$7),G31,"Y")</f>
        <v>44</v>
      </c>
      <c r="T31" s="339">
        <f>DATEDIF(DATE($AE$9+1911,$AF$9,$AG$9),G31,"Y")</f>
        <v>24</v>
      </c>
      <c r="U31" s="365">
        <f>IF($S$7="","",IF($Z$8&gt;G31,"",S31+T31))</f>
        <v>68</v>
      </c>
      <c r="V31" s="341">
        <v>60</v>
      </c>
      <c r="W31" s="426">
        <f>GK31</f>
      </c>
      <c r="X31" s="427"/>
      <c r="Y31" s="428"/>
      <c r="Z31" s="284">
        <f>IF($S$7="","",IF(S31&gt;55,"",IF(AND(B31&gt;=110,T31&lt;25),"",IF(AND(B31&lt;110,S31&gt;=5,T31&gt;=30),"●",IF(AND(B31&gt;=110,S31&gt;=5,T31&gt;=30,OR(Z30="○",Z30="●")),"○","")))))</f>
      </c>
      <c r="AA31" s="262">
        <f>IF(OR($S$7="",S31&gt;60),"",IF(AND(S31&gt;=60,T31&gt;=15,V31=60),"●",IF(OR(AND(S31&gt;=60,T31&gt;=15,S31&lt;=60,AA30="●"),AND(S31&gt;=60,T31&gt;=15,S31&lt;=60,AA30="○")),"○",IF(AND(B31&gt;=111,T31&lt;25),"",IF(AND(B31&lt;115,V31&lt;=60,S31&gt;=5,T31&gt;=25),"●",IF(AND(B31&gt;=111,S31&gt;=5,T31&gt;=25,OR(AA30="○",AA30="●")),"○",""))))))</f>
      </c>
      <c r="AB31" s="318">
        <f>IF(OR($S$7="",S31&gt;61),"",IF(AND(S31&gt;=60,T31&gt;=15,V31=61),"●",IF(OR(AND(S31&gt;=60,T31&gt;=15,S31&lt;=61,AB30="●"),AND(S31&gt;=60,T31&gt;=15,S31&lt;=61,AB30="○")),"○",IF(AND(B31&gt;=112,T31&lt;25),"",IF(AND(B31&lt;115,V31&lt;=61,B31&gt;109,V31&gt;=61,S31&gt;=5,T31&gt;=25),"●",IF(AND(S31&gt;=5,T31&gt;=25,OR(AB30="○",AB30="●")),"○",""))))))</f>
      </c>
      <c r="AC31" s="318">
        <f>IF(OR($S$7="",S31&gt;62),"",IF(AND(S31&gt;=60,T31&gt;=15,V31=62),"●",IF(OR(AND(S31&gt;=60,T31&gt;=15,S31&lt;=62,AC30="●"),AND(S31&gt;=60,T31&gt;=15,S31&lt;=62,AC30="○")),"○",IF(AND(B31&gt;=113,T31&lt;25),"",IF(AND(B31&lt;115,V31&lt;=62,B31&gt;109,S31&gt;=5,V31&gt;=62,T31&gt;=25),"●",IF(AND(S31&gt;=5,T31&gt;=25,OR(AC30="○",AC30="●")),"○",""))))))</f>
      </c>
      <c r="AD31" s="262">
        <f>IF(OR($S$7="",S31&gt;63),"",IF(AND(S31&gt;=60,T31&gt;=15,V31=63),"●",IF(OR(AND(S31&gt;=60,T31&gt;=15,S31&lt;=63,AD30="●"),AND(S31&gt;=60,T31&gt;=15,S31&lt;=63,AD30="○")),"○",IF(AND(B31&gt;=114,T31&lt;25),"",IF(AND(B31&lt;115,V31&lt;=63,B31&gt;109,V31&gt;=63,S31&gt;=5,T31&gt;=25),"●",IF(AND(S31&gt;=5,T31&gt;=25,OR(AD30="○",AD30="●")),"○",""))))))</f>
      </c>
      <c r="AE31" s="262">
        <f>IF(OR($S$7="",S31&gt;64),"",IF(AND(S31&gt;=60,T31&gt;=15,V31=64),"●",IF(OR(AND(S31&gt;=60,T31&gt;=15,S31&lt;=64,AE30="●"),AND(S31&gt;=60,T31&gt;=15,S31&lt;=64,AE30="○")),"○",IF(AND(B31&gt;=115,T31&lt;25),"",IF(AND(B31&lt;115,V31&lt;=64,B31&gt;109,V31&gt;=64,S31&gt;=5,T31&gt;=25),"●",IF(AND(S31&gt;=5,T31&gt;=25,OR(AE30="○",AE30="●")),"○",""))))))</f>
      </c>
      <c r="AF31" s="388">
        <f>IF($S$7="","",IF(COUNTIF(Z31:AE31,"●")&gt;0,"",IF(AND(S31&gt;65,T31&gt;=25),"",IF(AND(S31&gt;=60,T31&gt;=15),"●",IF(AND(S31&gt;=5,T31&gt;=25),"●","")))))</f>
      </c>
      <c r="AG31" s="309">
        <f>IF($S$7="","",IF(BL31="","",IF(BL31="●","★",-1*BL31)))</f>
      </c>
      <c r="AH31" s="227">
        <f>IF($S$7="","",IF(BN31="","",IF(BN31="●","★",IF(V31&lt;&gt;60,"",IF(V31&lt;60,"",-1*BN31)))))</f>
      </c>
      <c r="AI31" s="320">
        <f>IF($S$7="","",IF(FP31="","",IF(FP31="●","★",IF(V31&lt;&gt;61,"",-1*FP31))))</f>
      </c>
      <c r="AJ31" s="320">
        <f>IF($S$7="","",IF(FQ31="","",IF(FQ31="●","★",IF(V31&lt;&gt;62,"",-1*FQ31))))</f>
      </c>
      <c r="AK31" s="320">
        <f>IF($S$7="","",IF(FR31="","",IF(FR31="●","★",IF(V31&lt;&gt;63,"",-1*FR31))))</f>
      </c>
      <c r="AL31" s="320">
        <f>IF($S$7="","",IF(FS31="","",IF(FS31="●","★",IF(V31&lt;&gt;64,"",-1*FS31))))</f>
      </c>
      <c r="AM31" s="226">
        <f>IF($S$7="","",IF(BP31="","",IF(SUM(AG31:AL31)&lt;&gt;0,"",IF(BP31="●","★",IF(V31&gt;65,"",-1*BP31)))))</f>
      </c>
      <c r="AN31" s="103"/>
      <c r="AO31" s="119">
        <f aca="true" t="shared" si="4" ref="AO31:AO62">IF($B$5="×",0,IF($Y$8&gt;=20180101,0,IF(OR(AND(C31&lt;20210101,S31&gt;=50,T31&gt;24,U31&gt;=R31),AND(C31&lt;20260101,S31&gt;=55,T31&gt;24,U31&gt;=R31),AND(C31&lt;20310101,S31&gt;=60,T31&gt;24,U31&gt;=R31)),1,0)))</f>
        <v>0</v>
      </c>
      <c r="AP31" s="119">
        <f>GG31</f>
        <v>0</v>
      </c>
      <c r="AQ31" s="119">
        <f>IF(OR(AND(C31&lt;20210101,S31&gt;=60,T31&gt;=25),AND(C31&gt;=20210101,S31&gt;=V31,T31&gt;=25)),1,IF(AND(C31&lt;20210101,S31&gt;=55,T31&gt;=30),1,0)*0)</f>
        <v>0</v>
      </c>
      <c r="AR31" s="119">
        <f>IF(OR(AO31+AP31+AQ31+GG31&gt;0,SUM($AO$30:AQ30)+GG30&gt;0),1,0)</f>
        <v>0</v>
      </c>
      <c r="AS31" s="119">
        <f aca="true" t="shared" si="5" ref="AS31:AS62">IF(AND(C31&lt;20210101,AO31=1),"符合【109年(含)以前，年資≧25年&amp;年齡≧50歲】且【年資＋年齡≧當年法定指標數】之擇領全額月退休金條件",IF(AND(C31&lt;20260101,AO31=1),"符合【110(含)至114年(含)之間，年資≧25年&amp;年齡≧55歲】且【年資＋年齡≧當年法定指標數】之擇領全額月退休金條件",IF(AND(C31&lt;20310101,AO31=1),"符合【115(含)至119年(含)之間，年資≧25年&amp;年齡≧60歲】且【年資＋年齡≧當年法定指標數】之擇領全額月退休金條件","")))</f>
      </c>
      <c r="AT31" s="119">
        <f>IF(AO31=1,"",IF(AP31=1,"符合「年齡滿"&amp;GF31&amp;"歲、年資滿15年」之屆齡退休擇領月退休金條件",""))</f>
      </c>
      <c r="AU31" s="119">
        <f>IF(OR(AO31=1,AP31=1),"",IF(AND(B31&lt;110,AQ31=1),"符合109年(含)以前，「年齡滿60歲、年資滿25年」或「年齡滿55歲、年資滿30年」，且【年資＋年齡≧當年法定指標數】之擇領月退休條件",IF(AND(B31&gt;=110,AQ31=1),"符合114年(含)以前，「年齡滿法定退休年齡"&amp;V31&amp;"歲、年資滿25年」之擇領月退休條件","")))</f>
      </c>
      <c r="AV31" s="380">
        <f>IF(EG31=CU31,GH31,CONCATENATE(AS31,AT31,AU31))</f>
      </c>
      <c r="AW31" s="120">
        <f aca="true" t="shared" si="6" ref="AW31:AW62">IF(AND(S31&gt;=65,T31&lt;15),1,0)</f>
        <v>0</v>
      </c>
      <c r="AX31" s="120">
        <f aca="true" t="shared" si="7" ref="AX31:AX62">IF(AND(S31&gt;=65,T31&gt;=15),1,0)</f>
        <v>0</v>
      </c>
      <c r="AY31" s="120">
        <f>LEFT(AV31,2)</f>
      </c>
      <c r="AZ31" s="120">
        <f aca="true" t="shared" si="8" ref="AZ31:AZ62">S31</f>
        <v>44</v>
      </c>
      <c r="BA31" s="120">
        <f aca="true" t="shared" si="9" ref="BA31:BA62">C31</f>
        <v>20171231</v>
      </c>
      <c r="BB31" s="120" t="str">
        <f aca="true" t="shared" si="10" ref="BB31:BB62">N31</f>
        <v>106.1.1~106.12.31</v>
      </c>
      <c r="BC31" s="121">
        <f>IF(AZ31&gt;65,"",IF($AX$7&gt;$AX$8,"",IF(AW31&gt;0,"★您將於"&amp;BB31&amp;"之間達到屆齡退休限齡，但因年資未滿15年，無法擇領月退休金",IF(AX31&gt;0,"★您將於"&amp;BB31&amp;"之間達到屆齡退休限齡，且因年資已滿15年，可以擇領月退休金",""))))</f>
      </c>
      <c r="BD31" s="122">
        <f>IF(AZ31&gt;65,"",IF($AX$7&gt;$AX$8,"",IF(AND(AW31=0,AX31=0),"","★ 您自本區間起，達到屆齡退休限齡")))</f>
      </c>
      <c r="BE31" s="122"/>
      <c r="BF31" s="120"/>
      <c r="BG31" s="123">
        <f>IF(R31&lt;$BG$24,IF($AX$7&gt;$AX$8,IF(AR31=0,"",IF(AR31=AR30,"","您將在【"&amp;N31&amp;"】間，"&amp;AV31)),BC31),IF($AX$7&gt;=$AX$8,IF(AR31=0,"",IF(AR31=AR30,"","您將在緩衝期後的【"&amp;N31&amp;"】期間，達到"&amp;AV31)),BC31))</f>
      </c>
      <c r="BH31" s="31">
        <f>IF(OR(S31&gt;=65,AND(T31&gt;=30,S31&gt;=55)),1,0)</f>
        <v>0</v>
      </c>
      <c r="BI31" s="7">
        <f>IF(OR(S31&gt;=65,AND(T31&gt;=25,S31&gt;=60)),1,0)</f>
        <v>0</v>
      </c>
      <c r="BJ31" s="7">
        <f>IF(AND(T31&gt;=15,S31&gt;=60,V31-S31=1),1,IF(AND(T31&gt;=15,S31&gt;=60,V31-S31=2),2,IF(AND(T31&gt;=15,S31&gt;=60,V31-S31=3),3,IF(AND(T31&gt;=15,S31&gt;=60,V31-S31=4),4,IF(AND(T31&gt;=15,S31&gt;=60,V31-S31=5),5,0)))))</f>
        <v>0</v>
      </c>
      <c r="BK31" s="124">
        <f aca="true" t="shared" si="11" ref="BK31:BK62">IF(OR(B31&gt;=110,T31&lt;30),0,IF(AND(BH32=1,BH31=1),0,IF(AND(BH32=1,BH31=0),0.04,IF(AND(BH33=1,BH31=0),0.08,IF(AND(BH34=1,BH31=0),0.12,IF(AND(BH35=1,BH31=0),0.16,IF(AND(BH36=1,BH31=0),0.2,0)))))))</f>
        <v>0</v>
      </c>
      <c r="BL31" s="124">
        <f>IF(BH31+BH30=1,"●",IF(BK30=0.04,"●",IF(BK31&gt;0,BK31,"")))</f>
      </c>
      <c r="BM31" s="124">
        <f>IF(OR(B31&gt;=115,T31&lt;25),0,IF(AND(BI32=1,BI31=1),0,IF(AND(BI32=1,BI31=0),0.04,IF(AND(BI33=1,BI31=0),0.08,IF(AND(BI34=1,BI31=0),0.12,IF(AND(BI35=1,BI31=0),0.16,IF(AND(BI36=1,BI31=0),0.2,0)))))))</f>
        <v>0</v>
      </c>
      <c r="BN31" s="124">
        <f>IF(BI31+BI30=1,"●",IF(BM30=0.04,"●",IF(BM31&gt;0,BM31,"")))</f>
      </c>
      <c r="BO31" s="124">
        <f>IF(BJ31=1,0.04,IF(BJ31=2,0.08,IF(BJ31=3,0.12,IF(BJ31=4,0.16,IF(BJ31=5,0.2,0)))))</f>
        <v>0</v>
      </c>
      <c r="BP31" s="124">
        <f aca="true" t="shared" si="12" ref="BP31:BP94">IF(AND(BJ31=0,BJ30=1),"●",IF(AND(BO30=0.04,BO31=0),"●",IF(BO31&gt;0,BO31,"")))</f>
      </c>
      <c r="BQ31" s="33"/>
      <c r="BR31" s="169">
        <v>1</v>
      </c>
      <c r="BS31" s="170">
        <v>88</v>
      </c>
      <c r="BT31" s="171">
        <v>5</v>
      </c>
      <c r="BU31" s="172">
        <v>25</v>
      </c>
      <c r="BV31" s="173">
        <v>90</v>
      </c>
      <c r="BW31" s="174">
        <v>7</v>
      </c>
      <c r="BX31" s="175">
        <v>8</v>
      </c>
      <c r="BY31" s="353">
        <f aca="true" t="shared" si="13" ref="BY31:BY44">IF(OR(BS31="",BS31=" ",BS31="　",BS31="null"),"",IF(CO31=1,"*",DATEDIF(CB31,CC31,"Y")))</f>
        <v>2</v>
      </c>
      <c r="BZ31" s="354">
        <f aca="true" t="shared" si="14" ref="BZ31:BZ44">IF(OR(BS31="",BS31=" ",BS31="　",BS31="null"),"",IF(CO31=1,"*",DATEDIF(CB31,CC31,"YM")))</f>
        <v>1</v>
      </c>
      <c r="CA31" s="355">
        <f aca="true" t="shared" si="15" ref="CA31:CA44">IF(OR(BS31="",BS31=" ",BS31="　",BS31="null"),"",IF(BU31&lt;DAY(DATE(BV31+1911,BW31,)),DATEDIF(CB31,CC31,"MD"),IF(AND(BU31&gt;DAY(DATE(BV31+1911,BW31,)),BX31=1),DAY(DATE(BS31+1911,BT31+1,))-BU31+1,IF(OR(AND(BU31&gt;DAY(DATE(BV31+1911,BW31,)),BX31&gt;1,BX31&lt;&gt;31),AND(DAY(DATE(BS31+1911,BT31,BU31)+1)=1,BT31&lt;&gt;BW31,BX31&lt;BU31)),DAY(DATE(BS31+1911,BT31+1,))-BU31+BX31,DATEDIF(CB31,CC31,"MD")))))</f>
        <v>13</v>
      </c>
      <c r="CB31" s="125">
        <f aca="true" t="shared" si="16" ref="CB31:CB44">IF(OR(BT31&gt;12,AND(OR(BT31=1,BT31=3,BT31=5,BT31=7,BT31=8,BT31=10,BT31=12),BU31&gt;31),AND(OR(BT31=4,BT31=6,BT31=9,BT31=11),BU31&gt;30),AND(BT31=2,MOD(BS31,4)=1,BU31&gt;29),AND(BT31=2,MOD(BS31,4)&lt;&gt;1,BU31&gt;28)),"*",DATE(BS31+1911,BT31,BU31))</f>
        <v>36305</v>
      </c>
      <c r="CC31" s="126">
        <f aca="true" t="shared" si="17" ref="CC31:CC44">IF(OR(BW31&gt;12,AND(OR(BW31=1,BW31=3,BW31=5,BW31=7,BW31=8,BW31=10,BW31=12),BX31&gt;31),AND(OR(BW31=4,BW31=6,BW31=9,BW31=11),BX31&gt;30),AND(BW31=2,MOD(BV31,4)=1,BX31&gt;29),AND(BW31=2,MOD(BV31,4)&lt;&gt;1,BX31&gt;28)),"*",DATE(BV31+1911,BW31,BX31))</f>
        <v>37080</v>
      </c>
      <c r="CD31" s="126"/>
      <c r="CE31" s="127"/>
      <c r="CF31" s="127"/>
      <c r="CG31" s="127"/>
      <c r="CH31" s="128"/>
      <c r="CI31" s="128"/>
      <c r="CJ31" s="128"/>
      <c r="CK31" s="183">
        <f aca="true" t="shared" si="18" ref="CK31:CK62">IF($U$9+$U$10+$W$9+$W$10=0,$W$8,IF(AND($U$9-$U$10=0,$W$9-$W$10=0),$W$8,IF(M31=0,1,IF(AND(MOD(D31,4)=0,CR31=2),29-M31+1,IF(AND(MOD(D31,4)&gt;0,CR31=2),28-M31+1,IF(OR(CR31=4,CR31=6,CR31=9,CR31=11),30-M31+1,31-M31+1))))))</f>
        <v>13</v>
      </c>
      <c r="CL31" s="7">
        <f aca="true" t="shared" si="19" ref="CL31:CL62">IF($S$9+$S$10+$U$9+$U$10+$W$9+$W$10=0,$CR$9,IF(AND(L31=0,M31=0),1,IF(AND(L31&gt;0,M31=0),12-L31+1,12-L31)))</f>
        <v>12</v>
      </c>
      <c r="CM31" s="20">
        <f aca="true" t="shared" si="20" ref="CM31:CM62">IF($S$5="公務人員",D31-1911,D31-1911)</f>
        <v>106</v>
      </c>
      <c r="CN31" s="382">
        <f>DATE(1911+CM31,$U$7,$W$7)</f>
        <v>43086</v>
      </c>
      <c r="CO31" s="185">
        <f>$U$7</f>
        <v>12</v>
      </c>
      <c r="CP31" s="2">
        <f aca="true" t="shared" si="21" ref="CP31:CP45">$W$7</f>
        <v>17</v>
      </c>
      <c r="CQ31" s="382">
        <f>DATE(1911+CM31,$AF$9,$AG$9)</f>
        <v>43082</v>
      </c>
      <c r="CR31" s="185">
        <f>AF9</f>
        <v>12</v>
      </c>
      <c r="CS31" s="2">
        <f>AG9</f>
        <v>13</v>
      </c>
      <c r="CT31" s="2" t="str">
        <f>IF(CO31&gt;CR31,"初任",IF(CO31&lt;CR31,"生日",IF(CP31&gt;CS31,"初任","生日")))</f>
        <v>初任</v>
      </c>
      <c r="CU31" s="382">
        <f>MIN(CN31,CQ31)</f>
        <v>43082</v>
      </c>
      <c r="CV31" s="2">
        <f>IF(CT31="生日",CO31,CR31)</f>
        <v>12</v>
      </c>
      <c r="CW31" s="2" t="str">
        <f>IF(CO31&gt;CR31,"生日",IF(CO31&lt;CR31,"初任",IF(CP31&gt;CS31,"生日","初任")))</f>
        <v>生日</v>
      </c>
      <c r="CX31" s="382">
        <f>MAX(CN31,CQ31)</f>
        <v>43086</v>
      </c>
      <c r="CY31" s="2">
        <f>IF(CW31="生日",CO31,CR31)</f>
        <v>12</v>
      </c>
      <c r="CZ31" s="2">
        <f aca="true" t="shared" si="22" ref="CZ31:CZ62">IF(BG31="",0,1)</f>
        <v>0</v>
      </c>
      <c r="DA31" s="2">
        <f>IF(CZ31=0,"",IF(AND(R31=90,$S$5="公務人員"),85,IF(AND(R31=85,$S$5="高中以下教師"),85,IF(S31=65,65,IF(AP31=1,60,IF(GG31=1,60,IF(AO31=1,75,IF(AQ31=1,55))))))))</f>
      </c>
      <c r="DB31" s="2">
        <f aca="true" t="shared" si="23" ref="DB31:DB62">IF(DA31="","",IF(OR(AND(R31=90,$S$5="公務人員"),AND(R31=85,$S$5="高中以下教師")),"",U31-R31))</f>
      </c>
      <c r="DC31" s="2">
        <f>IF(AND(DA31=75,DB31=0),CX31,"")</f>
      </c>
      <c r="DD31" s="2">
        <f>IF(DC31=CN31,CO31,IF(DC31=CQ31,CR31,""))</f>
      </c>
      <c r="DE31" s="2">
        <f>IF(DD31="","",IF(DD31=1,CM31&amp;".2.1。【說明：原實際條件成就之日期為"&amp;DC31&amp;"，惟因須配合學期而延至當學期結束之次日，始能退休生效，爰推算為"&amp;CM31&amp;".2.1】",IF(AND(DD31&lt;=7,DD31&gt;1),CM31&amp;".8.1。【說明：原實際條件成就之日期為"&amp;DC31&amp;"，惟因須配合學期而延至當學年度結束之次日，始能退休生效，爰推算為"&amp;CM31&amp;".8.1】",IF(OR(AND(DD31&gt;7,OR(CO31=1,CR31=1)),AND(DD31&gt;7,OR(RIGHT(CN31,4)=".2.1",RIGHT(CQ31,4)=".2.1"))),CM31+1&amp;".2.1。【說明：原實際條件成就之日期為"&amp;DC31&amp;"，惟因須配合學期而延至當學期結束之次日，始能退休生效，爰推算為"&amp;CM31+1&amp;".2.1】",""))))</f>
      </c>
      <c r="DF31" s="2">
        <f aca="true" t="shared" si="24" ref="DF31:DF94">IF(DD31="","",IF(DE31="",IF(OR(AND(DD31&gt;7,OR(AND(CO31&gt;1,CO31&lt;=7),AND(CR31&gt;1,CR31&lt;=7))),AND(DD31&gt;7,OR(RIGHT(CN31,4)=".8.1",RIGHT(CQ31,4)=".8.1"))),CM31+1&amp;".8.1。【說明：原實際條件成就之日期為"&amp;DC31&amp;"，惟因須配合學期暨受次年度指標數增加之影響，而必須二次遞延至當學年度結束之次日，始能退休生效，爰推算為"&amp;CM31+1&amp;".8.1】",CM31+2&amp;".2.1。【說明：原實際條件成就之日期為"&amp;DC31&amp;"，惟因須配合學期暨受次年度指標數增加之影響，而必須三次遞延至次學年度第一學期結束之次日，始能退休生效，爰推算為"&amp;CM31+2&amp;".2.1】"),""))</f>
      </c>
      <c r="DG31" s="129">
        <f aca="true" t="shared" si="25" ref="DG31:DG94">IF(DD31="","",IF(RIGHT(DC31,4)=".8.1",CM31&amp;".8.1",IF(RIGHT(DC31,4)=".2.1",CM31&amp;".2.1",DE31&amp;DF31)))</f>
      </c>
      <c r="DH31" s="2">
        <f aca="true" t="shared" si="26" ref="DH31:DH62">IF(AND(DA31=75,DB31=1,S31=50,T31&gt;25),CN31,IF(AND(DA31=75,DB31=1,S31&gt;50,T31=25),CQ31,IF(AND(DA31=75,DB31=1,S31&gt;50,T31&gt;25,S5="公務人員"),CM31&amp;".1.1",IF(AND(DA31=75,DB31=1,S31&gt;50,T31&gt;25,S5="高中以下教師"),CM31&amp;".1.1",""))))</f>
      </c>
      <c r="DI31" s="2">
        <f>IF(DH31=CM31&amp;".1.1",1,IF(DH31=CN31,CO31,IF(DH31=CQ31,CR31,"")))</f>
      </c>
      <c r="DJ31" s="129">
        <f>IF(DI31="","",IF(RIGHT(DH31,4)=".8.1",CM31&amp;".8.1",IF(RIGHT(DH31,4)=".2.1",CM31&amp;".2.1",IF(DH31=CM31&amp;".1.1",CM31&amp;".1.1"&amp;"以前。【說明：亦即新法案施行前已符規定，可擇領月退休金之退休日期不受新法案影響】",IF(DI31=1,CM31&amp;".2.1。【說明：原實際條件成就時間為"&amp;DH31&amp;"，惟因必須配合學期而延至當學期結束之次日，始能退休生效，爰推算為"&amp;CM31&amp;".2.1】",IF(AND(DI31&gt;1,DI31&lt;=7),CM31&amp;".8.1。【說明：原實際條件成就時間為"&amp;DH31&amp;"，惟因必須配合學期而延至當學年度結束之次日，始能退休生效，爰推算為"&amp;CM31&amp;".8.1】",CM31+1&amp;".2.1。【說明：實際條件成就時間為"&amp;DH31&amp;"，惟因必須配合學期而延至當學期結束之次日，始能退休生效，爰推算為"&amp;CM31+1&amp;".2.1】"))))))</f>
      </c>
      <c r="DK31" s="2">
        <f aca="true" t="shared" si="27" ref="DK31:DK62">IF(AND(DA31=75,DB31&gt;=2,S31=50,T31&gt;25),CN31,IF(AND(DA31=75,DB31&gt;=2,S31&gt;50,T31=25),CQ31,IF(AND(DA31=75,DB31&gt;=2,S31&gt;50,T31&gt;25,S5="公務人員"),CM31&amp;".1.1",IF(AND(DA31=75,DB31&gt;=2,S31&gt;50,T31&gt;25,S5="高中以下教師"),CM31&amp;".1.1",""))))</f>
      </c>
      <c r="DL31" s="2">
        <f>IF(DK31=CM31&amp;".1.1",2,IF(DK31=CN31,CO31,IF(DK31=CQ31,CR31,"")))</f>
      </c>
      <c r="DM31" s="129">
        <f>IF(DL31="","",IF(RIGHT(DK31,4)=".8.1",CM31&amp;".8.1",IF(RIGHT(DK31,4)=".2.1",CM31&amp;".2.1",IF(DK31=CM31&amp;".1.1",CM31&amp;".1.1"&amp;"以前。【說明：亦即新法案施行前已符規定，可擇領月退休金之退休日期不受新法案影響】",IF(DL31=1,CM31&amp;".2.1。【說明：原實際條件成就時間為"&amp;DK31&amp;"，惟因必須配合學期而延至當學期結束之次日，始能退休生效，爰推算為"&amp;CM31&amp;".2.1】",IF(AND(DL31&lt;=7,DL31&gt;1),CM31&amp;".8.1。【說明：原實際條件成就時間為"&amp;DK31&amp;"，惟因必須配合學期而延至當學年度結束之次日，始能退休生效，爰推算為"&amp;CM31&amp;".8.1】",CM31+1&amp;".2.1。【說明：原實際條件成就時間為"&amp;DK31&amp;"，惟因必須配合學期而延至當學期結束之次日，始能退休生效，爰推算為"&amp;CM31+1&amp;".2.1】"))))))</f>
      </c>
      <c r="DN31" s="2">
        <f aca="true" t="shared" si="28" ref="DN31:DN62">IF(AND(DA31=55,S31=55,T31=30),CY31,IF(AND(DA31=55,S31&gt;55,T31=30),CR31,IF(AND(DA31=55,S31=55,T31&gt;30),CO31,"")))</f>
      </c>
      <c r="DO31" s="2">
        <f aca="true" t="shared" si="29" ref="DO31:DO62">IF(AND(DA31=55,S31=55,T31=30),CX31,IF(AND(DA31=55,S31&gt;55,T31=30),CQ31,IF(AND(DA31=55,S31=55,T31&gt;30),CN31,"")))</f>
      </c>
      <c r="DP31" s="129">
        <f>IF(DN31="","",IF(RIGHT(DO31,4)=".8.1",CM31&amp;".8.1",IF(RIGHT(DO31,4)=".2.1",CM31&amp;".2.1",IF(DN31=1,CM31&amp;".2.1。【說明：原實際條件成就時間為"&amp;DO31&amp;"，惟因必須配合學期而延至當學期結束之次日，始能退休生效，爰推算為"&amp;CM31&amp;".2.1】",IF(AND(DN31&lt;=7,DN31&gt;1),CM31&amp;".8.1。【說明：原實際條件成就時間為"&amp;DO31&amp;"，惟因必須配合學期而延至當學年度結束之次日，始能退休生效，爰推算為"&amp;CM31&amp;".8.1】",CM31+1&amp;".2.1。【說明：原實際條件成就時間為"&amp;DO31&amp;"，惟因必須配合學期而延至當學期結束之次日，始能退休生效，爰推算為"&amp;CM31+1&amp;".2.1】")))))</f>
      </c>
      <c r="DQ31" s="2">
        <f aca="true" t="shared" si="30" ref="DQ31:DQ62">IF(AND(DA31=60,S31=60,T31=15),CY31,IF(AND(DA31=60,S31&gt;60,T31=15),CR31,IF(AND(DA31=60,S31=60,T31&gt;15),CO31,"")))</f>
      </c>
      <c r="DR31" s="2">
        <f aca="true" t="shared" si="31" ref="DR31:DR62">IF(AND(DA31=60,S31=60,T31=15),CX31,IF(AND(DA31=60,S31&gt;60,T31=15),CQ31,IF(AND(DA31=60,S31=60,T31&gt;15),CN31,"")))</f>
      </c>
      <c r="DS31" s="129">
        <f>IF(DQ31="","",IF(RIGHT(DR31,4)=".8.1",CM31&amp;".8.1",IF(RIGHT(DR31,4)=".2.1",CM31&amp;".2.1",IF(DQ31=1,CM31&amp;".2.1。【說明：原實際條件成就時間為"&amp;DR31&amp;"，惟因必須配合學期而延至當學期結束之次日，始能退休生效，爰推算為"&amp;CM31&amp;".2.1】",IF(AND(DQ31&lt;=7,DQ31&gt;1),CM31&amp;".8.1。【說明：原實際條件成就時間為"&amp;DR31&amp;"，惟因必須配合學期而延至當學年度結束之次日，始能退休生效，爰推算為"&amp;CM31&amp;".8.1】",CM31+1&amp;".2.1。【說明：原實際條件成就時間為"&amp;DR31&amp;"，惟因必須配合學期而延至當學期結束之次日，始能退休生效，爰推算為"&amp;CM31+1&amp;".2.1】")))))</f>
      </c>
      <c r="DT31" s="2">
        <f aca="true" t="shared" si="32" ref="DT31:DT62">IF(AND(DA31=85,S31=55,T31=30),CY31,IF(AND(DA31=85,S31&gt;55,T31=30),CR31,IF(AND(DA31=85,S31=55,T31&gt;30),CO31,IF(AND(DA31=85,S31=60,T31=15),CY31,IF(AND(DA31=85,S31&gt;60,T31=15),CR31,IF(AND(DA31=85,S31=60,T31&gt;15),CO31,""))))))</f>
      </c>
      <c r="DU31" s="2">
        <f aca="true" t="shared" si="33" ref="DU31:DU62">IF(AND(DA31=85,S31=55,T31=30),CX31,IF(AND(DA31=85,S31&gt;55,T31=30),CQ31,IF(AND(DA31=85,S31=55,T31&gt;30),CN31,IF(AND(DA31=85,S31=60,T31=15),CX31,IF(AND(DA31=85,S31&gt;60,T31=15),CQ31,IF(AND(DA31=85,S31=60,T31&gt;15),CN31,""))))))</f>
      </c>
      <c r="DV31" s="129">
        <f>IF(DT31="","",IF(RIGHT(DU31,4)=".8.1",CM31&amp;".8.1",IF(RIGHT(DU31,4)=".2.1",CM31&amp;".2.1",IF(DT31=1,CM31&amp;".2.1。【說明：原實際條件成就時間為"&amp;DU31&amp;"，惟因必須配合學期而延至當學期結束之次日，始能退休生效，爰推算為"&amp;CM31&amp;".2.1】",IF(AND(DT31&lt;=7,DT31&gt;1),CM31&amp;".8.1。【說明：原實際條件成就時間為"&amp;DU31&amp;"，惟因必須配合學期而延至當學年度結束之次日，始能退休生效，爰推算為"&amp;CM31&amp;".8.1】",CM31+1&amp;".2.1。【說明：原實際條件成就時間為"&amp;DU31&amp;"，惟因必須配合學期而延至當學期結束之次日，始能退休生效，爰推算為"&amp;CM31+1&amp;".2.1】")))))</f>
      </c>
      <c r="DW31" s="2">
        <f>IF(DA31=65,CO31,"")</f>
      </c>
      <c r="DX31" s="2">
        <f>IF(DA31=65,CN31,"")</f>
      </c>
      <c r="DY31" s="129">
        <f>IF(DW31="","",IF(RIGHT(DX31,4)=".8.1",CM31&amp;".8.1",IF(RIGHT(DX31,4)=".2.1",CM31&amp;".2.1",IF(DW31=1,CM31&amp;".2.1。【說明：原實際條件成就時間為"&amp;DX31&amp;"，惟因必須配合學期而延至當學期結束之次日，始能退休生效，爰推算為"&amp;CM31&amp;".2.1】",IF(AND(DW31&lt;=7,DW31&gt;1),CM31&amp;".8.1。【說明：原實際條件成就時間為"&amp;DX31&amp;"，惟因必須配合學期而延至當學年度結束之次日，始能退休生效，爰推算為"&amp;CM31&amp;".8.1】",CM31+1&amp;".2.1。【說明：原實際條件成就時間為"&amp;DX31&amp;"，惟因必須配合學期而延至當學期結束之次日，始能退休生效，爰推算為"&amp;CM31+1&amp;".2.1】")))))</f>
      </c>
      <c r="DZ31" s="129"/>
      <c r="EA31" s="21">
        <f>CONCATENATE(DG31,DJ31,DM31,DP31,DS31,DV31,DY31)</f>
      </c>
      <c r="EB31" s="382">
        <f>IF(B31&gt;=120,DATE(3000,1,1),IF(AND(AO31=1,U31-R31=0),CX31,DATE(3000,1,1)))</f>
        <v>401769</v>
      </c>
      <c r="EC31" s="382">
        <f>IF(B31&gt;=120,DATE(3000,1,1),IF(AND(AO31=1,U31-R31=1,S31=FC31,T31&gt;25),CN31,IF(AND(AO31=1,U31-R31=1,S31=FC31,T31=25),CX31,IF(AND(AO31=1,U31-R31=1,S31&gt;FC31,T31=25),CQ31,IF(AND(AO31=1,U31-R31=1,S31&gt;FC31,T31&gt;25),CU31,DATE(3000,1,1))))))</f>
        <v>401769</v>
      </c>
      <c r="ED31" s="2">
        <f>IF(EC31=CX31,CY31,IF(EC31=CU31,CV31,""))</f>
      </c>
      <c r="EE31" s="382">
        <f>IF(B31&gt;=120,DATE(3000,1,1),IF(AND(AO31=1,U31-R31&gt;=2,S31&gt;FC31,T31&gt;25),DATE(B31+1911,1,1),IF(AND(AO31=1,U31-R31&gt;=2,S31=FC31,T31&gt;25),DATE(B31+1911,$U$7,$W$7),IF(AND(AO31=1,U31-R31&gt;=2,S31&gt;FC31,T31=25),DATE(B31+1911,$AF$9,$AG$9),DATE(3000,1,1)))))</f>
        <v>401769</v>
      </c>
      <c r="EF31" s="382">
        <f>IF(AND(DA31=55,S31=55,T31=30),CX31,IF(AND(DA31=55,S31&gt;55,T31=30),CQ31,IF(AND(DA31=55,S31=55,T31&gt;30),CN31,DATE(3000,1,1))))</f>
        <v>401769</v>
      </c>
      <c r="EG31" s="382">
        <f>IF(AND(S31=GF31,T31=15),CX31,IF(AND(S31=GF31,T31=30),CU31,IF(AND(S31&gt;GF31,T31=15),CQ31,IF(AND(S31=GF31,T31&gt;15),CN31,DATE(3000,1,1)))))</f>
        <v>401769</v>
      </c>
      <c r="EH31" s="382"/>
      <c r="EI31" s="382">
        <f>IF(DA31=65,CN31,DATE(3000,1,1))</f>
        <v>401769</v>
      </c>
      <c r="EJ31" s="208">
        <f aca="true" t="shared" si="34" ref="EJ31:EJ95">MIN(EB31,EC31,EE31,EF31,EG31,EI31)</f>
        <v>401769</v>
      </c>
      <c r="EK31" s="2">
        <f>IF(EA31="","",VALUE(LEFT(EA31,3)))</f>
      </c>
      <c r="EL31" s="2">
        <f aca="true" t="shared" si="35" ref="EL31:EL62">IF(EK31="","",IF(AND(R31&lt;85,EK31&gt;=113),"◆但@*%#...喔麥尬～上開生效日期已逾10年過渡期，仍否再適用指標數規定，恐有疑義！",""))</f>
      </c>
      <c r="EM31" s="34"/>
      <c r="EN31" s="7">
        <f aca="true" t="shared" si="36" ref="EN31:EN62">IF($S$5="公務人員",IF(AND(T31&gt;=15,S31&gt;=65),1,0),IF(AND(T31&gt;=15,S31&gt;=65),1,0))</f>
        <v>0</v>
      </c>
      <c r="EO31" s="124">
        <f aca="true" t="shared" si="37" ref="EO31:EO62">IF(T31&gt;=10,IF(AND(EN32=1,EN31=1),0,IF(AND(EN32=1,EN31=0),0.04,IF(AND(EN33=1,EN31=0),0.08,IF(AND(EN34=1,EN31=0),0.12,IF(AND(EN35=1,EN31=0),0.16,IF(AND(EN36=1,EN31=0),0.2,0)))))),0)</f>
        <v>0</v>
      </c>
      <c r="EP31" s="214">
        <f aca="true" t="shared" si="38" ref="EP31:EP62">IF(OR(AND(S31&gt;=60,T31&gt;=25),AND(S31&gt;=60,T31&gt;=15)),"●","")</f>
      </c>
      <c r="EQ31" s="213">
        <f aca="true" t="shared" si="39" ref="EQ31:EQ62">IF(AND(S31&gt;=50,T31&gt;=25),"●","")</f>
      </c>
      <c r="ER31" s="213">
        <f aca="true" t="shared" si="40" ref="ER31:ER62">IF(OR(AND($S$5="公務人員",T31&gt;=30,S31&gt;=55),AND($S$5="公務人員",T31&gt;=25,S31&gt;=60),AND($S$5="公務人員",T31&gt;=15,S31&gt;=60),AND($S$5="高中以下教師",T31&gt;=30,S31&gt;=50),AND($S$5="高中以下教師",T31&gt;=25,S31&gt;=55)),-1*BP31,"")</f>
      </c>
      <c r="ES31" s="34">
        <v>8</v>
      </c>
      <c r="ET31" s="187">
        <v>8</v>
      </c>
      <c r="EU31" s="34">
        <v>8</v>
      </c>
      <c r="EV31" s="34"/>
      <c r="EW31" s="34"/>
      <c r="EX31" s="34"/>
      <c r="EY31" s="34"/>
      <c r="EZ31" s="34"/>
      <c r="FA31" s="34"/>
      <c r="FB31" s="34"/>
      <c r="FC31" s="2">
        <f aca="true" t="shared" si="41" ref="FC31:FC70">IF(R31="60",60,IF(R31="65",65,IF(B31&lt;=109,50,IF(B31&lt;=114,55,IF(B31&lt;=119,60,65)))))</f>
        <v>50</v>
      </c>
      <c r="FD31" s="20"/>
      <c r="FE31" s="20">
        <f>B31</f>
        <v>106</v>
      </c>
      <c r="FF31" s="2">
        <f>IF(OR(S31&gt;=65,AND(T31&gt;=25,S31&gt;=61)),1,0)</f>
        <v>0</v>
      </c>
      <c r="FG31" s="2">
        <f>IF(OR(S31&gt;=65,AND(T31&gt;=25,S31&gt;=62)),1,0)</f>
        <v>0</v>
      </c>
      <c r="FH31" s="2">
        <f>IF(OR(S31&gt;=65,AND(T31&gt;=25,S31&gt;=63)),1,0)</f>
        <v>0</v>
      </c>
      <c r="FI31" s="2">
        <f>IF(OR(S31&gt;=65,AND(T31&gt;=25,S31&gt;=64)),1,0)</f>
        <v>0</v>
      </c>
      <c r="FJ31" s="20"/>
      <c r="FK31" s="326">
        <f>IF(OR(B31&gt;=115,T31&lt;25),0,IF(AND(FF32=1,FF31=1),0,IF(AND(FF32=1,FF31=0),0.04,IF(AND(FF33=1,FF31=0),0.08,IF(AND(FF34=1,FF31=0),0.12,IF(AND(FF35=1,FF31=0),0.16,IF(AND(FF36=1,FF31=0),0.2,0)))))))</f>
        <v>0</v>
      </c>
      <c r="FL31" s="326">
        <f>IF(OR(B31&gt;=115,T31&lt;25),0,IF(AND(FG32=1,FG31=1),0,IF(AND(FG32=1,FG31=0),0.04,IF(AND(FG33=1,FG31=0),0.08,IF(AND(FG34=1,FG31=0),0.12,IF(AND(FG35=1,FG31=0),0.16,IF(AND(FG36=1,FG31=0),0.2,0)))))))</f>
        <v>0</v>
      </c>
      <c r="FM31" s="326">
        <f>IF(OR(B31&gt;=115,T31&lt;25),0,IF(AND(FH32=1,FH31=1),0,IF(AND(FH32=1,FH31=0),0.04,IF(AND(FH33=1,FH31=0),0.08,IF(AND(FH34=1,FH31=0),0.12,IF(AND(FH35=1,FH31=0),0.16,IF(AND(FH36=1,FH31=0),0.2,0)))))))</f>
        <v>0</v>
      </c>
      <c r="FN31" s="326">
        <f>IF(OR(B31&gt;=115,T31&lt;25),0,IF(AND(FI32=1,FI31=1),0,IF(AND(FI32=1,FI31=0),0.04,IF(AND(FI33=1,FI31=0),0.08,IF(AND(FI34=1,FI31=0),0.12,IF(AND(FI35=1,FI31=0),0.16,IF(AND(FI36=1,FI31=0),0.2,0)))))))</f>
        <v>0</v>
      </c>
      <c r="FP31" s="326">
        <f>IF(FF31+FF30=1,"●",IF(FK30=0.04,"●",IF(FK31&gt;0,FK31,"")))</f>
      </c>
      <c r="FQ31" s="326">
        <f>IF(FG31+FG30=1,"●",IF(FL30=0.04,"●",IF(FL31&gt;0,FL31,"")))</f>
      </c>
      <c r="FR31" s="326">
        <f>IF(FH31+FH30=1,"●",IF(FM30=0.04,"●",IF(FM31&gt;0,FM31,"")))</f>
      </c>
      <c r="FS31" s="326">
        <f>IF(FI31+FI30=1,"●",IF(FN30=0.04,"●",IF(FN31&gt;0,FN31,"")))</f>
      </c>
      <c r="GF31" s="2">
        <v>60</v>
      </c>
      <c r="GG31" s="2">
        <f>IF(AND(S31&gt;=GF31,T31&gt;=15),1,0)</f>
        <v>0</v>
      </c>
      <c r="GH31" s="2">
        <f>IF(GG30=1,"",IF(EG31=CU31,"符合「年齡滿"&amp;GF31&amp;"歲、年資滿15年」之擇領月退休金條件",""))</f>
      </c>
      <c r="GI31" s="20">
        <f>IF($S$7="","",IF($AX$7&gt;=$AX$8,IF(AR31=0,"",IF(AND(R31&lt;94,AR31&gt;AR30),"已達法定指標，請參閱上方【分析結果】",IF(AND(R31&gt;=94,AR31&gt;AR30),"已符基本條件，請參閱上方【分析結果】",""))),BD31))</f>
      </c>
      <c r="GJ31" s="20">
        <f aca="true" t="shared" si="42" ref="GJ31:GJ70">IF(OR(GI31="已達法定指標，請參閱上方【分析結果】",GI31="已符基本條件，請參閱上方【分析結果】",S31&gt;66),"",IF(S31=66,"已逾屆齡退休限齡",IF(S31=65,"已達屆齡退休限齡",IF(AND(B31&gt;VALUE(LEFT($EJ$5,3)),AO31+AP31+AQ31+GG31&gt;0),"本區間內仍符合（但成就日期須符合規定）",IF(AND(B31&gt;VALUE(LEFT($EJ$5,3)),AO31+AP31+AQ31+GG31=0),"不符!!","")))))</f>
      </c>
      <c r="GK31" s="20">
        <f>CONCATENATE(GI31,GJ31)</f>
      </c>
    </row>
    <row r="32" spans="1:193" s="29" customFormat="1" ht="15" customHeight="1">
      <c r="A32" s="144"/>
      <c r="B32" s="222">
        <f>B31+1</f>
        <v>107</v>
      </c>
      <c r="C32" s="26">
        <f aca="true" t="shared" si="43" ref="C32:C95">VALUE(IF($S$5="公務人員",B32+1911&amp;"1231",B32+1911&amp;"1231"))</f>
        <v>20181231</v>
      </c>
      <c r="D32" s="26" t="str">
        <f aca="true" t="shared" si="44" ref="D32:D95">LEFT(C32,4)</f>
        <v>2018</v>
      </c>
      <c r="E32" s="26" t="str">
        <f aca="true" t="shared" si="45" ref="E32:E95">MID(C32,5,2)</f>
        <v>12</v>
      </c>
      <c r="F32" s="26" t="str">
        <f aca="true" t="shared" si="46" ref="F32:F95">RIGHT(C32,2)</f>
        <v>31</v>
      </c>
      <c r="G32" s="26" t="str">
        <f aca="true" t="shared" si="47" ref="G32:G95">D32&amp;"/"&amp;E32&amp;"/"&amp;F32</f>
        <v>2018/12/31</v>
      </c>
      <c r="H32" s="117">
        <f t="shared" si="0"/>
        <v>25</v>
      </c>
      <c r="I32" s="117">
        <f aca="true" t="shared" si="48" ref="I32:I95">IF(IF(G32=DATE(YEAR(G32),MONTH(G32)+1,1)-1,IF(MONTH(G32)&gt;=MONTH($Z$8),MONTH(G32)-MONTH($Z$8),MONTH(4)+12-MONTH($Z$8)+1),IF(MONTH(G32)&gt;=MONTH($Z$8),MONTH(G32)-MONTH($Z$8)-(DAY(G32)&lt;DAY($Z$8))+12*(MONTH(G32)=MONTH($Z$8)),MONTH(G32)+12-MONTH($Z$8)-(DAY(G32)&lt;DAY($Z$8))))=12,0,IF(G32=DATE(YEAR(G32),MONTH(G32)+1,1)-1,IF(MONTH(G32)&gt;=MONTH($Z$8),MONTH(G32)-MONTH($Z$8),MONTH(4)+12-MONTH($Z$8)+1),IF(MONTH(G32)&gt;=MONTH($Z$8),MONTH(G32)-MONTH($Z$8)-(DAY(G32)&lt;DAY($Z$8))+12*(MONTH(G32)=MONTH($Z$8)),MONTH(G32)+12-MONTH($Z$8)-(DAY(G32)&lt;DAY($Z$8)))))</f>
        <v>0</v>
      </c>
      <c r="J32" s="26">
        <f>IF(BQ9=1,"*",IF(G32=DATE(YEAR(G32),MONTH(G32)+1,1)-1,IF($Z$8=DATE(YEAR($Z$8),MONTH($Z$8)+1,1)-1,0,DAY(DATE(YEAR($Z$8),MONTH($Z$8)+1,1)-1)-DAY($Z$8)),IF(DAY(G32)&gt;=DAY($Z$8),DAY(G32)-DAY($Z$8),DATE(YEAR($Z$8),MONTH($Z$8)+1,1)-1-$Z$8+DAY(G32))))</f>
        <v>18</v>
      </c>
      <c r="K32" s="118">
        <f t="shared" si="1"/>
        <v>25</v>
      </c>
      <c r="L32" s="118">
        <f t="shared" si="2"/>
        <v>0</v>
      </c>
      <c r="M32" s="118">
        <f t="shared" si="3"/>
        <v>18</v>
      </c>
      <c r="N32" s="567" t="str">
        <f>IF($S$5="公務人員",B32&amp;".1.1~"&amp;B32&amp;".12.31",B32&amp;".1.1~"&amp;B32&amp;".12.31")</f>
        <v>107.1.1~107.12.31</v>
      </c>
      <c r="O32" s="568"/>
      <c r="P32" s="568"/>
      <c r="Q32" s="569"/>
      <c r="R32" s="293">
        <f>IF(AND($S$5="公務人員",R31&gt;=94),"65",IF(AND($S$5="公務人員",R31&lt;94),R31+1))</f>
        <v>82</v>
      </c>
      <c r="S32" s="359">
        <f aca="true" t="shared" si="49" ref="S32:S95">DATEDIF(DATE($S$7+1911,$U$7,$W$7),G32,"Y")</f>
        <v>45</v>
      </c>
      <c r="T32" s="360">
        <f aca="true" t="shared" si="50" ref="T32:T95">DATEDIF(DATE($AE$9+1911,$AF$9,$AG$9),G32,"Y")</f>
        <v>25</v>
      </c>
      <c r="U32" s="365">
        <f aca="true" t="shared" si="51" ref="U32:U95">IF($S$7="","",IF($Z$8&gt;G32,"",S32+T32))</f>
        <v>70</v>
      </c>
      <c r="V32" s="341">
        <v>60</v>
      </c>
      <c r="W32" s="429">
        <f aca="true" t="shared" si="52" ref="W32:W70">GK32</f>
      </c>
      <c r="X32" s="430"/>
      <c r="Y32" s="431"/>
      <c r="Z32" s="230">
        <f aca="true" t="shared" si="53" ref="Z32:Z70">IF($S$7="","",IF(S32&gt;55,"",IF(AND(B32&gt;=110,T32&lt;25),"",IF(AND(B32&lt;110,S32&gt;=5,T32&gt;=30),"●",IF(AND(B32&gt;=110,S32&gt;=5,T32&gt;=30,OR(Z31="○",Z31="●")),"○","")))))</f>
      </c>
      <c r="AA32" s="220" t="str">
        <f aca="true" t="shared" si="54" ref="AA32:AA95">IF(OR($S$7="",S32&gt;60),"",IF(AND(S32&gt;=60,T32&gt;=15,V32=60),"●",IF(OR(AND(S32&gt;=60,T32&gt;=15,S32&lt;=60,AA31="●"),AND(S32&gt;=60,T32&gt;=15,S32&lt;=60,AA31="○")),"○",IF(AND(B32&gt;=111,T32&lt;25),"",IF(AND(B32&lt;115,V32&lt;=60,S32&gt;=5,T32&gt;=25),"●",IF(AND(B32&gt;=111,S32&gt;=5,T32&gt;=25,OR(AA31="○",AA31="●")),"○",""))))))</f>
        <v>●</v>
      </c>
      <c r="AB32" s="393">
        <f aca="true" t="shared" si="55" ref="AB32:AB95">IF(OR($S$7="",S32&gt;61),"",IF(AND(S32&gt;=60,T32&gt;=15,V32=61),"●",IF(OR(AND(S32&gt;=60,T32&gt;=15,S32&lt;=61,AB31="●"),AND(S32&gt;=60,T32&gt;=15,S32&lt;=61,AB31="○")),"○",IF(AND(B32&gt;=112,T32&lt;25),"",IF(AND(B32&lt;115,V32&lt;=61,B32&gt;109,V32&gt;=61,S32&gt;=5,T32&gt;=25),"●",IF(AND(S32&gt;=5,T32&gt;=25,OR(AB31="○",AB31="●")),"○",""))))))</f>
      </c>
      <c r="AC32" s="393">
        <f aca="true" t="shared" si="56" ref="AC32:AC95">IF(OR($S$7="",S32&gt;62),"",IF(AND(S32&gt;=60,T32&gt;=15,V32=62),"●",IF(OR(AND(S32&gt;=60,T32&gt;=15,S32&lt;=62,AC31="●"),AND(S32&gt;=60,T32&gt;=15,S32&lt;=62,AC31="○")),"○",IF(AND(B32&gt;=113,T32&lt;25),"",IF(AND(B32&lt;115,V32&lt;=62,B32&gt;109,S32&gt;=5,V32&gt;=62,T32&gt;=25),"●",IF(AND(S32&gt;=5,T32&gt;=25,OR(AC31="○",AC31="●")),"○",""))))))</f>
      </c>
      <c r="AD32" s="220">
        <f aca="true" t="shared" si="57" ref="AD32:AD95">IF(OR($S$7="",S32&gt;63),"",IF(AND(S32&gt;=60,T32&gt;=15,V32=63),"●",IF(OR(AND(S32&gt;=60,T32&gt;=15,S32&lt;=63,AD31="●"),AND(S32&gt;=60,T32&gt;=15,S32&lt;=63,AD31="○")),"○",IF(AND(B32&gt;=114,T32&lt;25),"",IF(AND(B32&lt;115,V32&lt;=63,B32&gt;109,V32&gt;=63,S32&gt;=5,T32&gt;=25),"●",IF(AND(S32&gt;=5,T32&gt;=25,OR(AD31="○",AD31="●")),"○",""))))))</f>
      </c>
      <c r="AE32" s="220">
        <f aca="true" t="shared" si="58" ref="AE32:AE95">IF(OR($S$7="",S32&gt;64),"",IF(AND(S32&gt;=60,T32&gt;=15,V32=64),"●",IF(OR(AND(S32&gt;=60,T32&gt;=15,S32&lt;=64,AE31="●"),AND(S32&gt;=60,T32&gt;=15,S32&lt;=64,AE31="○")),"○",IF(AND(B32&gt;=115,T32&lt;25),"",IF(AND(B32&lt;115,V32&lt;=64,B32&gt;109,V32&gt;=64,S32&gt;=5,T32&gt;=25),"●",IF(AND(S32&gt;=5,T32&gt;=25,OR(AE31="○",AE31="●")),"○",""))))))</f>
      </c>
      <c r="AF32" s="231">
        <f aca="true" t="shared" si="59" ref="AF32:AF95">IF($S$7="","",IF(COUNTIF(Z32:AE32,"●")&gt;0,"",IF(AND(S32&gt;65,T32&gt;=25),"",IF(AND(S32&gt;=60,T32&gt;=15),"●",IF(AND(S32&gt;=5,T32&gt;=25),"●","")))))</f>
      </c>
      <c r="AG32" s="310">
        <f aca="true" t="shared" si="60" ref="AG32:AG70">IF($S$7="","",IF(BL32="","",IF(BL32="●","★",-1*BL32)))</f>
      </c>
      <c r="AH32" s="228">
        <f aca="true" t="shared" si="61" ref="AH32:AH70">IF($S$7="","",IF(BN32="","",IF(BN32="●","★",IF(V32&lt;&gt;60,"",IF(V32&lt;60,"",-1*BN32)))))</f>
      </c>
      <c r="AI32" s="321">
        <f aca="true" t="shared" si="62" ref="AI32:AI70">IF($S$7="","",IF(FP32="","",IF(FP32="●","★",IF(V32&lt;&gt;61,"",-1*FP32))))</f>
      </c>
      <c r="AJ32" s="321">
        <f aca="true" t="shared" si="63" ref="AJ32:AJ70">IF($S$7="","",IF(FQ32="","",IF(FQ32="●","★",IF(V32&lt;&gt;62,"",-1*FQ32))))</f>
      </c>
      <c r="AK32" s="321">
        <f aca="true" t="shared" si="64" ref="AK32:AK70">IF($S$7="","",IF(FR32="","",IF(FR32="●","★",IF(V32&lt;&gt;63,"",-1*FR32))))</f>
      </c>
      <c r="AL32" s="321">
        <f aca="true" t="shared" si="65" ref="AL32:AL70">IF($S$7="","",IF(FS32="","",IF(FS32="●","★",IF(V32&lt;&gt;64,"",-1*FS32))))</f>
      </c>
      <c r="AM32" s="282">
        <f aca="true" t="shared" si="66" ref="AM32:AM70">IF($S$7="","",IF(BP32="","",IF(SUM(AG32:AL32)&lt;&gt;0,"",IF(BP32="●","★",IF(V32&gt;65,"",-1*BP32)))))</f>
      </c>
      <c r="AN32" s="103"/>
      <c r="AO32" s="119">
        <f t="shared" si="4"/>
        <v>0</v>
      </c>
      <c r="AP32" s="119">
        <f aca="true" t="shared" si="67" ref="AP32:AP95">GG32</f>
        <v>0</v>
      </c>
      <c r="AQ32" s="119">
        <f aca="true" t="shared" si="68" ref="AQ32:AQ95">IF(OR(AND(C32&lt;20210101,S32&gt;=60,T32&gt;=25),AND(C32&gt;=20210101,S32&gt;=V32,T32&gt;=25)),1,IF(AND(C32&lt;20210101,S32&gt;=55,T32&gt;=30),1,0)*0)</f>
        <v>0</v>
      </c>
      <c r="AR32" s="119">
        <f>IF(OR(AO32+AP32+AQ32+GG32&gt;0,SUM($AO$30:AQ31)+GG31&gt;0),1,0)</f>
        <v>0</v>
      </c>
      <c r="AS32" s="119">
        <f t="shared" si="5"/>
      </c>
      <c r="AT32" s="119">
        <f aca="true" t="shared" si="69" ref="AT32:AT95">IF(AO32=1,"",IF(AP32=1,"符合「年齡滿"&amp;GF32&amp;"歲、年資滿15年」之屆齡退休擇領月退休金條件",""))</f>
      </c>
      <c r="AU32" s="119">
        <f aca="true" t="shared" si="70" ref="AU32:AU95">IF(OR(AO32=1,AP32=1),"",IF(AND(B32&lt;110,AQ32=1),"符合109年(含)以前，「年齡滿60歲、年資滿25年」或「年齡滿55歲、年資滿30年」，且【年資＋年齡≧當年法定指標數】之擇領月退休條件",IF(AND(B32&gt;=110,AQ32=1),"符合114年(含)以前，「年齡滿法定退休年齡"&amp;V32&amp;"歲、年資滿25年」之擇領月退休條件","")))</f>
      </c>
      <c r="AV32" s="380">
        <f aca="true" t="shared" si="71" ref="AV32:AV95">IF(EG32=CU32,GH32,CONCATENATE(AS32,AT32,AU32))</f>
      </c>
      <c r="AW32" s="120">
        <f t="shared" si="6"/>
        <v>0</v>
      </c>
      <c r="AX32" s="120">
        <f t="shared" si="7"/>
        <v>0</v>
      </c>
      <c r="AY32" s="120">
        <f aca="true" t="shared" si="72" ref="AY32:AY68">LEFT(AV32,2)</f>
      </c>
      <c r="AZ32" s="120">
        <f t="shared" si="8"/>
        <v>45</v>
      </c>
      <c r="BA32" s="120">
        <f t="shared" si="9"/>
        <v>20181231</v>
      </c>
      <c r="BB32" s="120" t="str">
        <f t="shared" si="10"/>
        <v>107.1.1~107.12.31</v>
      </c>
      <c r="BC32" s="121">
        <f aca="true" t="shared" si="73" ref="BC32:BC95">IF(AZ32&gt;65,"",IF($AX$7&gt;$AX$8,"",IF(AW32&gt;0,"★您將於"&amp;BB32&amp;"之間達到屆齡退休限齡，但因年資未滿15年，無法擇領月退休金",IF(AX32&gt;0,"★您將於"&amp;BB32&amp;"之間達到屆齡退休限齡，且因年資已滿15年，可以擇領月退休金",""))))</f>
      </c>
      <c r="BD32" s="122">
        <f aca="true" t="shared" si="74" ref="BD32:BD95">IF(AZ32&gt;65,"",IF($AX$7&gt;$AX$8,"",IF(AND(AW32=0,AX32=0),"","★ 您自本區間起，達到屆齡退休限齡")))</f>
      </c>
      <c r="BE32" s="122"/>
      <c r="BF32" s="120"/>
      <c r="BG32" s="123">
        <f aca="true" t="shared" si="75" ref="BG32:BG95">IF(R32&lt;$BG$24,IF($AX$7&gt;$AX$8,IF(AR32=0,"",IF(AR32=AR31,"","您將在【"&amp;N32&amp;"】間，"&amp;AV32)),BC32),IF($AX$7&gt;=$AX$8,IF(AR32=0,"",IF(AR32=AR31,"","您將在緩衝期後的【"&amp;N32&amp;"】期間，達到"&amp;AV32)),BC32))</f>
      </c>
      <c r="BH32" s="31">
        <f aca="true" t="shared" si="76" ref="BH32:BH95">IF(OR(S32&gt;=65,AND(T32&gt;=30,S32&gt;=55)),1,0)</f>
        <v>0</v>
      </c>
      <c r="BI32" s="7">
        <f aca="true" t="shared" si="77" ref="BI32:BI95">IF(OR(S32&gt;=65,AND(T32&gt;=25,S32&gt;=60)),1,0)</f>
        <v>0</v>
      </c>
      <c r="BJ32" s="7">
        <f aca="true" t="shared" si="78" ref="BJ32:BJ70">IF(AND(T32&gt;=15,S32&gt;=60,V32-S32=1),1,IF(AND(T32&gt;=15,S32&gt;=60,V32-S32=2),2,IF(AND(T32&gt;=15,S32&gt;=60,V32-S32=3),3,IF(AND(T32&gt;=15,S32&gt;=60,V32-S32=4),4,IF(AND(T32&gt;=15,S32&gt;=60,V32-S32=5),5,0)))))</f>
        <v>0</v>
      </c>
      <c r="BK32" s="124">
        <f t="shared" si="11"/>
        <v>0</v>
      </c>
      <c r="BL32" s="124">
        <f aca="true" t="shared" si="79" ref="BL32:BL95">IF(BH32+BH31=1,"●",IF(BK31=0.04,"●",IF(BK32&gt;0,BK32,"")))</f>
      </c>
      <c r="BM32" s="124">
        <f aca="true" t="shared" si="80" ref="BM32:BM95">IF(OR(B32&gt;=115,T32&lt;25),0,IF(AND(BI33=1,BI32=1),0,IF(AND(BI33=1,BI32=0),0.04,IF(AND(BI34=1,BI32=0),0.08,IF(AND(BI35=1,BI32=0),0.12,IF(AND(BI36=1,BI32=0),0.16,IF(AND(BI37=1,BI32=0),0.2,0)))))))</f>
        <v>0</v>
      </c>
      <c r="BN32" s="124">
        <f aca="true" t="shared" si="81" ref="BN32:BN95">IF(BI32+BI31=1,"●",IF(BM31=0.04,"●",IF(BM32&gt;0,BM32,"")))</f>
      </c>
      <c r="BO32" s="124">
        <f aca="true" t="shared" si="82" ref="BO32:BO95">IF(BJ32=1,0.04,IF(BJ32=2,0.08,IF(BJ32=3,0.12,IF(BJ32=4,0.16,IF(BJ32=5,0.2,0)))))</f>
        <v>0</v>
      </c>
      <c r="BP32" s="124">
        <f t="shared" si="12"/>
      </c>
      <c r="BQ32" s="33"/>
      <c r="BR32" s="169">
        <v>2</v>
      </c>
      <c r="BS32" s="170"/>
      <c r="BT32" s="171"/>
      <c r="BU32" s="172"/>
      <c r="BV32" s="173"/>
      <c r="BW32" s="174"/>
      <c r="BX32" s="175"/>
      <c r="BY32" s="353">
        <f t="shared" si="13"/>
      </c>
      <c r="BZ32" s="354">
        <f t="shared" si="14"/>
      </c>
      <c r="CA32" s="355">
        <f t="shared" si="15"/>
      </c>
      <c r="CB32" s="125">
        <f t="shared" si="16"/>
        <v>3987</v>
      </c>
      <c r="CC32" s="126">
        <f t="shared" si="17"/>
        <v>3987</v>
      </c>
      <c r="CD32" s="126"/>
      <c r="CE32" s="127"/>
      <c r="CF32" s="127"/>
      <c r="CG32" s="127"/>
      <c r="CH32" s="128"/>
      <c r="CI32" s="128"/>
      <c r="CJ32" s="128"/>
      <c r="CK32" s="183">
        <f t="shared" si="18"/>
        <v>13</v>
      </c>
      <c r="CL32" s="7">
        <f t="shared" si="19"/>
        <v>12</v>
      </c>
      <c r="CM32" s="20">
        <f t="shared" si="20"/>
        <v>107</v>
      </c>
      <c r="CN32" s="382">
        <f aca="true" t="shared" si="83" ref="CN32:CN95">DATE(1911+CM32,$U$7,$W$7)</f>
        <v>43451</v>
      </c>
      <c r="CO32" s="185">
        <f aca="true" t="shared" si="84" ref="CO32:CO95">$U$7</f>
        <v>12</v>
      </c>
      <c r="CP32" s="2">
        <f t="shared" si="21"/>
        <v>17</v>
      </c>
      <c r="CQ32" s="382">
        <f aca="true" t="shared" si="85" ref="CQ32:CQ95">DATE(1911+CM32,$AF$9,$AG$9)</f>
        <v>43447</v>
      </c>
      <c r="CR32" s="185">
        <f>CR31</f>
        <v>12</v>
      </c>
      <c r="CS32" s="2">
        <f>CS31</f>
        <v>13</v>
      </c>
      <c r="CT32" s="2" t="str">
        <f aca="true" t="shared" si="86" ref="CT32:CT45">IF(CO32&gt;CR32,"初任",IF(CO32&lt;CR32,"生日",IF(CP32&gt;CS32,"初任","生日")))</f>
        <v>初任</v>
      </c>
      <c r="CU32" s="382">
        <f aca="true" t="shared" si="87" ref="CU32:CU95">MIN(CN32,CQ32)</f>
        <v>43447</v>
      </c>
      <c r="CV32" s="2">
        <f aca="true" t="shared" si="88" ref="CV32:CV45">IF(CT32="生日",CO32,CR32)</f>
        <v>12</v>
      </c>
      <c r="CW32" s="2" t="str">
        <f aca="true" t="shared" si="89" ref="CW32:CW45">IF(CO32&gt;CR32,"生日",IF(CO32&lt;CR32,"初任",IF(CP32&gt;CS32,"生日","初任")))</f>
        <v>生日</v>
      </c>
      <c r="CX32" s="382">
        <f aca="true" t="shared" si="90" ref="CX32:CX95">MAX(CN32,CQ32)</f>
        <v>43451</v>
      </c>
      <c r="CY32" s="2">
        <f aca="true" t="shared" si="91" ref="CY32:CY45">IF(CW32="生日",CO32,CR32)</f>
        <v>12</v>
      </c>
      <c r="CZ32" s="2">
        <f t="shared" si="22"/>
        <v>0</v>
      </c>
      <c r="DA32" s="2">
        <f aca="true" t="shared" si="92" ref="DA32:DA95">IF(CZ32=0,"",IF(AND(R32=90,$S$5="公務人員"),85,IF(AND(R32=85,$S$5="高中以下教師"),85,IF(S32=65,65,IF(AP32=1,60,IF(GG32=1,60,IF(AO32=1,75,IF(AQ32=1,55))))))))</f>
      </c>
      <c r="DB32" s="2">
        <f t="shared" si="23"/>
      </c>
      <c r="DC32" s="2">
        <f aca="true" t="shared" si="93" ref="DC32:DC95">IF(AND(DA32=75,DB32=0),CX32,"")</f>
      </c>
      <c r="DD32" s="2">
        <f aca="true" t="shared" si="94" ref="DD32:DD95">IF(DC32=CN32,CO32,IF(DC32=CQ32,CR32,""))</f>
      </c>
      <c r="DE32" s="2">
        <f aca="true" t="shared" si="95" ref="DE32:DE95">IF(DD32="","",IF(DD32=1,CM32&amp;".2.1。【說明：原實際條件成就之日期為"&amp;DC32&amp;"，惟因須配合學期而延至當學期結束之次日，始能退休生效，爰推算為"&amp;CM32&amp;".2.1】",IF(AND(DD32&lt;=7,DD32&gt;1),CM32&amp;".8.1。【說明：原實際條件成就之日期為"&amp;DC32&amp;"，惟因須配合學期而延至當學年度結束之次日，始能退休生效，爰推算為"&amp;CM32&amp;".8.1】",IF(OR(AND(DD32&gt;7,OR(CO32=1,CR32=1)),AND(DD32&gt;7,OR(RIGHT(CN32,4)=".2.1",RIGHT(CQ32,4)=".2.1"))),CM32+1&amp;".2.1。【說明：原實際條件成就之日期為"&amp;DC32&amp;"，惟因須配合學期而延至當學期結束之次日，始能退休生效，爰推算為"&amp;CM32+1&amp;".2.1】",""))))</f>
      </c>
      <c r="DF32" s="2">
        <f t="shared" si="24"/>
      </c>
      <c r="DG32" s="129">
        <f t="shared" si="25"/>
      </c>
      <c r="DH32" s="2">
        <f t="shared" si="26"/>
      </c>
      <c r="DI32" s="2">
        <f aca="true" t="shared" si="96" ref="DI32:DI95">IF(DH32=CM32&amp;".1.1",1,IF(DH32=CN32,CO32,IF(DH32=CQ32,CR32,"")))</f>
      </c>
      <c r="DJ32" s="129">
        <f aca="true" t="shared" si="97" ref="DJ32:DJ95">IF(DI32="","",IF(RIGHT(DH32,4)=".8.1",CM32&amp;".8.1",IF(RIGHT(DH32,4)=".2.1",CM32&amp;".2.1",IF(DH32=CM32&amp;".1.1",CM32&amp;".1.1"&amp;"以前。【說明：亦即新法案施行前已符規定，可擇領月退休金之退休日期不受新法案影響】",IF(DI32=1,CM32&amp;".2.1。【說明：原實際條件成就時間為"&amp;DH32&amp;"，惟因必須配合學期而延至當學期結束之次日，始能退休生效，爰推算為"&amp;CM32&amp;".2.1】",IF(AND(DI32&gt;1,DI32&lt;=7),CM32&amp;".8.1。【說明：原實際條件成就時間為"&amp;DH32&amp;"，惟因必須配合學期而延至當學年度結束之次日，始能退休生效，爰推算為"&amp;CM32&amp;".8.1】",CM32+1&amp;".2.1。【說明：實際條件成就時間為"&amp;DH32&amp;"，惟因必須配合學期而延至當學期結束之次日，始能退休生效，爰推算為"&amp;CM32+1&amp;".2.1】"))))))</f>
      </c>
      <c r="DK32" s="2">
        <f t="shared" si="27"/>
      </c>
      <c r="DL32" s="2">
        <f aca="true" t="shared" si="98" ref="DL32:DL95">IF(DK32=CM32&amp;".1.1",2,IF(DK32=CN32,CO32,IF(DK32=CQ32,CR32,"")))</f>
      </c>
      <c r="DM32" s="129">
        <f aca="true" t="shared" si="99" ref="DM32:DM95">IF(DL32="","",IF(RIGHT(DK32,4)=".8.1",CM32&amp;".8.1",IF(RIGHT(DK32,4)=".2.1",CM32&amp;".2.1",IF(DK32=CM32&amp;".1.1",CM32&amp;".1.1"&amp;"以前。【說明：亦即新法案施行前已符規定，可擇領月退休金之退休日期不受新法案影響】",IF(DL32=1,CM32&amp;".2.1。【說明：原實際條件成就時間為"&amp;DK32&amp;"，惟因必須配合學期而延至當學期結束之次日，始能退休生效，爰推算為"&amp;CM32&amp;".2.1】",IF(AND(DL32&lt;=7,DL32&gt;1),CM32&amp;".8.1。【說明：原實際條件成就時間為"&amp;DK32&amp;"，惟因必須配合學期而延至當學年度結束之次日，始能退休生效，爰推算為"&amp;CM32&amp;".8.1】",CM32+1&amp;".2.1。【說明：原實際條件成就時間為"&amp;DK32&amp;"，惟因必須配合學期而延至當學期結束之次日，始能退休生效，爰推算為"&amp;CM32+1&amp;".2.1】"))))))</f>
      </c>
      <c r="DN32" s="2">
        <f t="shared" si="28"/>
      </c>
      <c r="DO32" s="2">
        <f t="shared" si="29"/>
      </c>
      <c r="DP32" s="129">
        <f aca="true" t="shared" si="100" ref="DP32:DP95">IF(DN32="","",IF(RIGHT(DO32,4)=".8.1",CM32&amp;".8.1",IF(RIGHT(DO32,4)=".2.1",CM32&amp;".2.1",IF(DN32=1,CM32&amp;".2.1。【說明：原實際條件成就時間為"&amp;DO32&amp;"，惟因必須配合學期而延至當學期結束之次日，始能退休生效，爰推算為"&amp;CM32&amp;".2.1】",IF(AND(DN32&lt;=7,DN32&gt;1),CM32&amp;".8.1。【說明：原實際條件成就時間為"&amp;DO32&amp;"，惟因必須配合學期而延至當學年度結束之次日，始能退休生效，爰推算為"&amp;CM32&amp;".8.1】",CM32+1&amp;".2.1。【說明：原實際條件成就時間為"&amp;DO32&amp;"，惟因必須配合學期而延至當學期結束之次日，始能退休生效，爰推算為"&amp;CM32+1&amp;".2.1】")))))</f>
      </c>
      <c r="DQ32" s="2">
        <f t="shared" si="30"/>
      </c>
      <c r="DR32" s="2">
        <f t="shared" si="31"/>
      </c>
      <c r="DS32" s="129">
        <f aca="true" t="shared" si="101" ref="DS32:DS95">IF(DQ32="","",IF(RIGHT(DR32,4)=".8.1",CM32&amp;".8.1",IF(RIGHT(DR32,4)=".2.1",CM32&amp;".2.1",IF(DQ32=1,CM32&amp;".2.1。【說明：原實際條件成就時間為"&amp;DR32&amp;"，惟因必須配合學期而延至當學期結束之次日，始能退休生效，爰推算為"&amp;CM32&amp;".2.1】",IF(AND(DQ32&lt;=7,DQ32&gt;1),CM32&amp;".8.1。【說明：原實際條件成就時間為"&amp;DR32&amp;"，惟因必須配合學期而延至當學年度結束之次日，始能退休生效，爰推算為"&amp;CM32&amp;".8.1】",CM32+1&amp;".2.1。【說明：原實際條件成就時間為"&amp;DR32&amp;"，惟因必須配合學期而延至當學期結束之次日，始能退休生效，爰推算為"&amp;CM32+1&amp;".2.1】")))))</f>
      </c>
      <c r="DT32" s="2">
        <f t="shared" si="32"/>
      </c>
      <c r="DU32" s="2">
        <f t="shared" si="33"/>
      </c>
      <c r="DV32" s="129">
        <f aca="true" t="shared" si="102" ref="DV32:DV95">IF(DT32="","",IF(RIGHT(DU32,4)=".8.1",CM32&amp;".8.1",IF(RIGHT(DU32,4)=".2.1",CM32&amp;".2.1",IF(DT32=1,CM32&amp;".2.1。【說明：原實際條件成就時間為"&amp;DU32&amp;"，惟因必須配合學期而延至當學期結束之次日，始能退休生效，爰推算為"&amp;CM32&amp;".2.1】",IF(AND(DT32&lt;=7,DT32&gt;1),CM32&amp;".8.1。【說明：原實際條件成就時間為"&amp;DU32&amp;"，惟因必須配合學期而延至當學年度結束之次日，始能退休生效，爰推算為"&amp;CM32&amp;".8.1】",CM32+1&amp;".2.1。【說明：原實際條件成就時間為"&amp;DU32&amp;"，惟因必須配合學期而延至當學期結束之次日，始能退休生效，爰推算為"&amp;CM32+1&amp;".2.1】")))))</f>
      </c>
      <c r="DW32" s="2">
        <f aca="true" t="shared" si="103" ref="DW32:DW95">IF(DA32=65,CO32,"")</f>
      </c>
      <c r="DX32" s="2">
        <f aca="true" t="shared" si="104" ref="DX32:DX95">IF(DA32=65,CN32,"")</f>
      </c>
      <c r="DY32" s="129">
        <f aca="true" t="shared" si="105" ref="DY32:DY95">IF(DW32="","",IF(RIGHT(DX32,4)=".8.1",CM32&amp;".8.1",IF(RIGHT(DX32,4)=".2.1",CM32&amp;".2.1",IF(DW32=1,CM32&amp;".2.1。【說明：原實際條件成就時間為"&amp;DX32&amp;"，惟因必須配合學期而延至當學期結束之次日，始能退休生效，爰推算為"&amp;CM32&amp;".2.1】",IF(AND(DW32&lt;=7,DW32&gt;1),CM32&amp;".8.1。【說明：原實際條件成就時間為"&amp;DX32&amp;"，惟因必須配合學期而延至當學年度結束之次日，始能退休生效，爰推算為"&amp;CM32&amp;".8.1】",CM32+1&amp;".2.1。【說明：原實際條件成就時間為"&amp;DX32&amp;"，惟因必須配合學期而延至當學期結束之次日，始能退休生效，爰推算為"&amp;CM32+1&amp;".2.1】")))))</f>
      </c>
      <c r="DZ32" s="129"/>
      <c r="EA32" s="21">
        <f aca="true" t="shared" si="106" ref="EA32:EA95">CONCATENATE(DG32,DJ32,DM32,DP32,DS32,DV32,DY32)</f>
      </c>
      <c r="EB32" s="382">
        <f aca="true" t="shared" si="107" ref="EB32:EB95">IF(B32&gt;=120,DATE(3000,1,1),IF(AND(AO32=1,U32-R32=0),CX32,DATE(3000,1,1)))</f>
        <v>401769</v>
      </c>
      <c r="EC32" s="382">
        <f aca="true" t="shared" si="108" ref="EC32:EC95">IF(B32&gt;=120,DATE(3000,1,1),IF(AND(AO32=1,U32-R32=1,S32=FC32,T32&gt;25),CN32,IF(AND(AO32=1,U32-R32=1,S32=FC32,T32=25),CX32,IF(AND(AO32=1,U32-R32=1,S32&gt;FC32,T32=25),CQ32,IF(AND(AO32=1,U32-R32=1,S32&gt;FC32,T32&gt;25),CU32,DATE(3000,1,1))))))</f>
        <v>401769</v>
      </c>
      <c r="ED32" s="2">
        <f aca="true" t="shared" si="109" ref="ED32:ED70">IF(EC32=CX32,CY32,IF(EC32=CU32,CV32,""))</f>
      </c>
      <c r="EE32" s="382">
        <f aca="true" t="shared" si="110" ref="EE32:EE95">IF(B32&gt;=120,DATE(3000,1,1),IF(AND(AO32=1,U32-R32&gt;=2,S32&gt;FC32,T32&gt;25),DATE(B32+1911,1,1),IF(AND(AO32=1,U32-R32&gt;=2,S32=FC32,T32&gt;25),DATE(B32+1911,$U$7,$W$7),IF(AND(AO32=1,U32-R32&gt;=2,S32&gt;FC32,T32=25),DATE(B32+1911,$AF$9,$AG$9),DATE(3000,1,1)))))</f>
        <v>401769</v>
      </c>
      <c r="EF32" s="382">
        <f aca="true" t="shared" si="111" ref="EF32:EF70">IF(AND(DA32=55,S32=55,T32=30),CX32,IF(AND(DA32=55,S32&gt;55,T32=30),CQ32,IF(AND(DA32=55,S32=55,T32&gt;30),CN32,DATE(3000,1,1))))</f>
        <v>401769</v>
      </c>
      <c r="EG32" s="382">
        <f aca="true" t="shared" si="112" ref="EG32:EG70">IF(AND(S32=GF32,T32=15),CX32,IF(AND(S32=GF32,T32=30),CU32,IF(AND(S32&gt;GF32,T32=15),CQ32,IF(AND(S32=GF32,T32&gt;15),CN32,DATE(3000,1,1)))))</f>
        <v>401769</v>
      </c>
      <c r="EH32" s="382"/>
      <c r="EI32" s="382">
        <f aca="true" t="shared" si="113" ref="EI32:EI70">IF(DA32=65,CN32,DATE(3000,1,1))</f>
        <v>401769</v>
      </c>
      <c r="EJ32" s="208">
        <f t="shared" si="34"/>
        <v>401769</v>
      </c>
      <c r="EK32" s="2">
        <f aca="true" t="shared" si="114" ref="EK32:EK95">IF(EA32="","",VALUE(LEFT(EA32,3)))</f>
      </c>
      <c r="EL32" s="2">
        <f t="shared" si="35"/>
      </c>
      <c r="EM32" s="34"/>
      <c r="EN32" s="7">
        <f t="shared" si="36"/>
        <v>0</v>
      </c>
      <c r="EO32" s="124">
        <f t="shared" si="37"/>
        <v>0</v>
      </c>
      <c r="EP32" s="214">
        <f t="shared" si="38"/>
      </c>
      <c r="EQ32" s="213">
        <f t="shared" si="39"/>
      </c>
      <c r="ER32" s="213">
        <f t="shared" si="40"/>
      </c>
      <c r="ES32" s="34">
        <v>9</v>
      </c>
      <c r="ET32" s="187">
        <v>9</v>
      </c>
      <c r="EU32" s="34">
        <v>9</v>
      </c>
      <c r="EV32" s="34"/>
      <c r="EW32" s="34"/>
      <c r="EX32" s="34"/>
      <c r="EY32" s="34"/>
      <c r="EZ32" s="34"/>
      <c r="FA32" s="34"/>
      <c r="FB32" s="34"/>
      <c r="FC32" s="2">
        <f t="shared" si="41"/>
        <v>50</v>
      </c>
      <c r="FD32" s="20"/>
      <c r="FE32" s="20">
        <f aca="true" t="shared" si="115" ref="FE32:FE95">B32</f>
        <v>107</v>
      </c>
      <c r="FF32" s="2">
        <f aca="true" t="shared" si="116" ref="FF32:FF95">IF(OR(S32&gt;=65,AND(T32&gt;=25,S32&gt;=61)),1,0)</f>
        <v>0</v>
      </c>
      <c r="FG32" s="2">
        <f aca="true" t="shared" si="117" ref="FG32:FG95">IF(OR(S32&gt;=65,AND(T32&gt;=25,S32&gt;=62)),1,0)</f>
        <v>0</v>
      </c>
      <c r="FH32" s="2">
        <f aca="true" t="shared" si="118" ref="FH32:FH95">IF(OR(S32&gt;=65,AND(T32&gt;=25,S32&gt;=63)),1,0)</f>
        <v>0</v>
      </c>
      <c r="FI32" s="2">
        <f aca="true" t="shared" si="119" ref="FI32:FI95">IF(OR(S32&gt;=65,AND(T32&gt;=25,S32&gt;=64)),1,0)</f>
        <v>0</v>
      </c>
      <c r="FJ32" s="20"/>
      <c r="FK32" s="326">
        <f aca="true" t="shared" si="120" ref="FK32:FK95">IF(OR(B32&gt;=115,T32&lt;25),0,IF(AND(FF33=1,FF32=1),0,IF(AND(FF33=1,FF32=0),0.04,IF(AND(FF34=1,FF32=0),0.08,IF(AND(FF35=1,FF32=0),0.12,IF(AND(FF36=1,FF32=0),0.16,IF(AND(FF37=1,FF32=0),0.2,0)))))))</f>
        <v>0</v>
      </c>
      <c r="FL32" s="326">
        <f aca="true" t="shared" si="121" ref="FL32:FL95">IF(OR(B32&gt;=115,T32&lt;25),0,IF(AND(FG33=1,FG32=1),0,IF(AND(FG33=1,FG32=0),0.04,IF(AND(FG34=1,FG32=0),0.08,IF(AND(FG35=1,FG32=0),0.12,IF(AND(FG36=1,FG32=0),0.16,IF(AND(FG37=1,FG32=0),0.2,0)))))))</f>
        <v>0</v>
      </c>
      <c r="FM32" s="326">
        <f aca="true" t="shared" si="122" ref="FM32:FM95">IF(OR(B32&gt;=115,T32&lt;25),0,IF(AND(FH33=1,FH32=1),0,IF(AND(FH33=1,FH32=0),0.04,IF(AND(FH34=1,FH32=0),0.08,IF(AND(FH35=1,FH32=0),0.12,IF(AND(FH36=1,FH32=0),0.16,IF(AND(FH37=1,FH32=0),0.2,0)))))))</f>
        <v>0</v>
      </c>
      <c r="FN32" s="326">
        <f aca="true" t="shared" si="123" ref="FN32:FN95">IF(OR(B32&gt;=115,T32&lt;25),0,IF(AND(FI33=1,FI32=1),0,IF(AND(FI33=1,FI32=0),0.04,IF(AND(FI34=1,FI32=0),0.08,IF(AND(FI35=1,FI32=0),0.12,IF(AND(FI36=1,FI32=0),0.16,IF(AND(FI37=1,FI32=0),0.2,0)))))))</f>
        <v>0</v>
      </c>
      <c r="FP32" s="326">
        <f aca="true" t="shared" si="124" ref="FP32:FP70">IF(FF32+FF31=1,"●",IF(FK31=0.04,"●",IF(FK32&gt;0,FK32,"")))</f>
      </c>
      <c r="FQ32" s="326">
        <f aca="true" t="shared" si="125" ref="FQ32:FQ70">IF(FG32+FG31=1,"●",IF(FL31=0.04,"●",IF(FL32&gt;0,FL32,"")))</f>
      </c>
      <c r="FR32" s="326">
        <f aca="true" t="shared" si="126" ref="FR32:FR70">IF(FH32+FH31=1,"●",IF(FM31=0.04,"●",IF(FM32&gt;0,FM32,"")))</f>
      </c>
      <c r="FS32" s="326">
        <f aca="true" t="shared" si="127" ref="FS32:FS70">IF(FI32+FI31=1,"●",IF(FN31=0.04,"●",IF(FN32&gt;0,FN32,"")))</f>
      </c>
      <c r="GF32" s="2">
        <v>60</v>
      </c>
      <c r="GG32" s="2">
        <f aca="true" t="shared" si="128" ref="GG32:GG95">IF(AND(S32&gt;=GF32,T32&gt;=15),1,0)</f>
        <v>0</v>
      </c>
      <c r="GH32" s="2">
        <f aca="true" t="shared" si="129" ref="GH32:GH95">IF(GG31=1,"",IF(EG32=CU32,"符合「年齡滿"&amp;GF32&amp;"歲、年資滿15年」之擇領月退休金條件",""))</f>
      </c>
      <c r="GI32" s="20">
        <f aca="true" t="shared" si="130" ref="GI32:GI95">IF($S$7="","",IF($AX$7&gt;=$AX$8,IF(AR32=0,"",IF(AND(R32&lt;94,AR32&gt;AR31),"已達法定指標，請參閱上方【分析結果】",IF(AND(R32&gt;=94,AR32&gt;AR31),"已符基本條件，請參閱上方【分析結果】",""))),BD32))</f>
      </c>
      <c r="GJ32" s="20">
        <f t="shared" si="42"/>
      </c>
      <c r="GK32" s="20">
        <f aca="true" t="shared" si="131" ref="GK32:GK95">CONCATENATE(GI32,GJ32)</f>
      </c>
    </row>
    <row r="33" spans="1:193" s="29" customFormat="1" ht="15" customHeight="1">
      <c r="A33" s="144"/>
      <c r="B33" s="222">
        <f aca="true" t="shared" si="132" ref="B33:B96">B32+1</f>
        <v>108</v>
      </c>
      <c r="C33" s="26">
        <f t="shared" si="43"/>
        <v>20191231</v>
      </c>
      <c r="D33" s="26" t="str">
        <f t="shared" si="44"/>
        <v>2019</v>
      </c>
      <c r="E33" s="26" t="str">
        <f t="shared" si="45"/>
        <v>12</v>
      </c>
      <c r="F33" s="26" t="str">
        <f t="shared" si="46"/>
        <v>31</v>
      </c>
      <c r="G33" s="26" t="str">
        <f t="shared" si="47"/>
        <v>2019/12/31</v>
      </c>
      <c r="H33" s="117">
        <f t="shared" si="0"/>
        <v>26</v>
      </c>
      <c r="I33" s="117">
        <f t="shared" si="48"/>
        <v>0</v>
      </c>
      <c r="J33" s="26">
        <f>IF(BQ10=1,"*",IF(G33=DATE(YEAR(G33),MONTH(G33)+1,1)-1,IF($Z$8=DATE(YEAR($Z$8),MONTH($Z$8)+1,1)-1,0,DAY(DATE(YEAR($Z$8),MONTH($Z$8)+1,1)-1)-DAY($Z$8)),IF(DAY(G33)&gt;=DAY($Z$8),DAY(G33)-DAY($Z$8),DATE(YEAR($Z$8),MONTH($Z$8)+1,1)-1-$Z$8+DAY(G33))))</f>
        <v>18</v>
      </c>
      <c r="K33" s="118">
        <f t="shared" si="1"/>
        <v>26</v>
      </c>
      <c r="L33" s="118">
        <f t="shared" si="2"/>
        <v>0</v>
      </c>
      <c r="M33" s="118">
        <f t="shared" si="3"/>
        <v>18</v>
      </c>
      <c r="N33" s="570" t="str">
        <f aca="true" t="shared" si="133" ref="N33:N70">IF($S$5="公務人員",B33&amp;".1.1~"&amp;B33&amp;".12.31",B33&amp;".1.1~"&amp;B33&amp;".12.31")</f>
        <v>108.1.1~108.12.31</v>
      </c>
      <c r="O33" s="571"/>
      <c r="P33" s="571"/>
      <c r="Q33" s="572"/>
      <c r="R33" s="293">
        <f aca="true" t="shared" si="134" ref="R33:R96">IF(AND($S$5="公務人員",R32&gt;=94),"65",IF(AND($S$5="公務人員",R32&lt;94),R32+1))</f>
        <v>83</v>
      </c>
      <c r="S33" s="359">
        <f t="shared" si="49"/>
        <v>46</v>
      </c>
      <c r="T33" s="360">
        <f t="shared" si="50"/>
        <v>26</v>
      </c>
      <c r="U33" s="366">
        <f t="shared" si="51"/>
        <v>72</v>
      </c>
      <c r="V33" s="341">
        <v>60</v>
      </c>
      <c r="W33" s="429">
        <f t="shared" si="52"/>
      </c>
      <c r="X33" s="430"/>
      <c r="Y33" s="431"/>
      <c r="Z33" s="230">
        <f t="shared" si="53"/>
      </c>
      <c r="AA33" s="220" t="str">
        <f t="shared" si="54"/>
        <v>●</v>
      </c>
      <c r="AB33" s="393">
        <f t="shared" si="55"/>
      </c>
      <c r="AC33" s="393">
        <f t="shared" si="56"/>
      </c>
      <c r="AD33" s="220">
        <f t="shared" si="57"/>
      </c>
      <c r="AE33" s="220">
        <f t="shared" si="58"/>
      </c>
      <c r="AF33" s="231">
        <f t="shared" si="59"/>
      </c>
      <c r="AG33" s="310">
        <f t="shared" si="60"/>
      </c>
      <c r="AH33" s="228">
        <f t="shared" si="61"/>
      </c>
      <c r="AI33" s="321">
        <f t="shared" si="62"/>
      </c>
      <c r="AJ33" s="321">
        <f t="shared" si="63"/>
      </c>
      <c r="AK33" s="321">
        <f t="shared" si="64"/>
      </c>
      <c r="AL33" s="321">
        <f t="shared" si="65"/>
      </c>
      <c r="AM33" s="282">
        <f t="shared" si="66"/>
      </c>
      <c r="AN33" s="103"/>
      <c r="AO33" s="119">
        <f t="shared" si="4"/>
        <v>0</v>
      </c>
      <c r="AP33" s="119">
        <f t="shared" si="67"/>
        <v>0</v>
      </c>
      <c r="AQ33" s="119">
        <f t="shared" si="68"/>
        <v>0</v>
      </c>
      <c r="AR33" s="119">
        <f>IF(OR(AO33+AP33+AQ33+GG33&gt;0,SUM($AO$30:AQ32)+GG32&gt;0),1,0)</f>
        <v>0</v>
      </c>
      <c r="AS33" s="119">
        <f t="shared" si="5"/>
      </c>
      <c r="AT33" s="119">
        <f t="shared" si="69"/>
      </c>
      <c r="AU33" s="119">
        <f t="shared" si="70"/>
      </c>
      <c r="AV33" s="380">
        <f t="shared" si="71"/>
      </c>
      <c r="AW33" s="120">
        <f t="shared" si="6"/>
        <v>0</v>
      </c>
      <c r="AX33" s="120">
        <f t="shared" si="7"/>
        <v>0</v>
      </c>
      <c r="AY33" s="120">
        <f t="shared" si="72"/>
      </c>
      <c r="AZ33" s="120">
        <f t="shared" si="8"/>
        <v>46</v>
      </c>
      <c r="BA33" s="120">
        <f t="shared" si="9"/>
        <v>20191231</v>
      </c>
      <c r="BB33" s="120" t="str">
        <f t="shared" si="10"/>
        <v>108.1.1~108.12.31</v>
      </c>
      <c r="BC33" s="121">
        <f t="shared" si="73"/>
      </c>
      <c r="BD33" s="122">
        <f t="shared" si="74"/>
      </c>
      <c r="BE33" s="122"/>
      <c r="BF33" s="120"/>
      <c r="BG33" s="123">
        <f t="shared" si="75"/>
      </c>
      <c r="BH33" s="31">
        <f t="shared" si="76"/>
        <v>0</v>
      </c>
      <c r="BI33" s="7">
        <f t="shared" si="77"/>
        <v>0</v>
      </c>
      <c r="BJ33" s="7">
        <f t="shared" si="78"/>
        <v>0</v>
      </c>
      <c r="BK33" s="124">
        <f t="shared" si="11"/>
        <v>0</v>
      </c>
      <c r="BL33" s="124">
        <f t="shared" si="79"/>
      </c>
      <c r="BM33" s="124">
        <f t="shared" si="80"/>
        <v>0</v>
      </c>
      <c r="BN33" s="124">
        <f t="shared" si="81"/>
      </c>
      <c r="BO33" s="124">
        <f t="shared" si="82"/>
        <v>0</v>
      </c>
      <c r="BP33" s="124">
        <f t="shared" si="12"/>
      </c>
      <c r="BQ33" s="33"/>
      <c r="BR33" s="169">
        <v>3</v>
      </c>
      <c r="BS33" s="170"/>
      <c r="BT33" s="171"/>
      <c r="BU33" s="172"/>
      <c r="BV33" s="173"/>
      <c r="BW33" s="174"/>
      <c r="BX33" s="175"/>
      <c r="BY33" s="353">
        <f t="shared" si="13"/>
      </c>
      <c r="BZ33" s="354">
        <f t="shared" si="14"/>
      </c>
      <c r="CA33" s="355">
        <f t="shared" si="15"/>
      </c>
      <c r="CB33" s="125">
        <f t="shared" si="16"/>
        <v>3987</v>
      </c>
      <c r="CC33" s="126">
        <f t="shared" si="17"/>
        <v>3987</v>
      </c>
      <c r="CD33" s="126"/>
      <c r="CE33" s="127"/>
      <c r="CF33" s="127"/>
      <c r="CG33" s="127"/>
      <c r="CH33" s="128"/>
      <c r="CI33" s="128"/>
      <c r="CJ33" s="128"/>
      <c r="CK33" s="183">
        <f t="shared" si="18"/>
        <v>13</v>
      </c>
      <c r="CL33" s="7">
        <f t="shared" si="19"/>
        <v>12</v>
      </c>
      <c r="CM33" s="20">
        <f t="shared" si="20"/>
        <v>108</v>
      </c>
      <c r="CN33" s="382">
        <f t="shared" si="83"/>
        <v>43816</v>
      </c>
      <c r="CO33" s="185">
        <f t="shared" si="84"/>
        <v>12</v>
      </c>
      <c r="CP33" s="2">
        <f t="shared" si="21"/>
        <v>17</v>
      </c>
      <c r="CQ33" s="382">
        <f t="shared" si="85"/>
        <v>43812</v>
      </c>
      <c r="CR33" s="185">
        <f aca="true" t="shared" si="135" ref="CR33:CR96">CR32</f>
        <v>12</v>
      </c>
      <c r="CS33" s="2">
        <f aca="true" t="shared" si="136" ref="CS33:CS96">CS32</f>
        <v>13</v>
      </c>
      <c r="CT33" s="2" t="str">
        <f t="shared" si="86"/>
        <v>初任</v>
      </c>
      <c r="CU33" s="382">
        <f t="shared" si="87"/>
        <v>43812</v>
      </c>
      <c r="CV33" s="2">
        <f t="shared" si="88"/>
        <v>12</v>
      </c>
      <c r="CW33" s="2" t="str">
        <f t="shared" si="89"/>
        <v>生日</v>
      </c>
      <c r="CX33" s="382">
        <f t="shared" si="90"/>
        <v>43816</v>
      </c>
      <c r="CY33" s="2">
        <f t="shared" si="91"/>
        <v>12</v>
      </c>
      <c r="CZ33" s="2">
        <f t="shared" si="22"/>
        <v>0</v>
      </c>
      <c r="DA33" s="2">
        <f t="shared" si="92"/>
      </c>
      <c r="DB33" s="2">
        <f t="shared" si="23"/>
      </c>
      <c r="DC33" s="2">
        <f t="shared" si="93"/>
      </c>
      <c r="DD33" s="2">
        <f t="shared" si="94"/>
      </c>
      <c r="DE33" s="2">
        <f t="shared" si="95"/>
      </c>
      <c r="DF33" s="2">
        <f t="shared" si="24"/>
      </c>
      <c r="DG33" s="129">
        <f t="shared" si="25"/>
      </c>
      <c r="DH33" s="2">
        <f t="shared" si="26"/>
      </c>
      <c r="DI33" s="2">
        <f t="shared" si="96"/>
      </c>
      <c r="DJ33" s="129">
        <f t="shared" si="97"/>
      </c>
      <c r="DK33" s="2">
        <f t="shared" si="27"/>
      </c>
      <c r="DL33" s="2">
        <f t="shared" si="98"/>
      </c>
      <c r="DM33" s="129">
        <f t="shared" si="99"/>
      </c>
      <c r="DN33" s="2">
        <f t="shared" si="28"/>
      </c>
      <c r="DO33" s="2">
        <f t="shared" si="29"/>
      </c>
      <c r="DP33" s="129">
        <f t="shared" si="100"/>
      </c>
      <c r="DQ33" s="2">
        <f t="shared" si="30"/>
      </c>
      <c r="DR33" s="2">
        <f t="shared" si="31"/>
      </c>
      <c r="DS33" s="129">
        <f t="shared" si="101"/>
      </c>
      <c r="DT33" s="2">
        <f t="shared" si="32"/>
      </c>
      <c r="DU33" s="2">
        <f t="shared" si="33"/>
      </c>
      <c r="DV33" s="129">
        <f t="shared" si="102"/>
      </c>
      <c r="DW33" s="2">
        <f t="shared" si="103"/>
      </c>
      <c r="DX33" s="2">
        <f t="shared" si="104"/>
      </c>
      <c r="DY33" s="129">
        <f t="shared" si="105"/>
      </c>
      <c r="DZ33" s="129"/>
      <c r="EA33" s="21">
        <f t="shared" si="106"/>
      </c>
      <c r="EB33" s="382">
        <f t="shared" si="107"/>
        <v>401769</v>
      </c>
      <c r="EC33" s="382">
        <f t="shared" si="108"/>
        <v>401769</v>
      </c>
      <c r="ED33" s="2">
        <f t="shared" si="109"/>
      </c>
      <c r="EE33" s="382">
        <f t="shared" si="110"/>
        <v>401769</v>
      </c>
      <c r="EF33" s="382">
        <f t="shared" si="111"/>
        <v>401769</v>
      </c>
      <c r="EG33" s="382">
        <f t="shared" si="112"/>
        <v>401769</v>
      </c>
      <c r="EH33" s="382"/>
      <c r="EI33" s="382">
        <f t="shared" si="113"/>
        <v>401769</v>
      </c>
      <c r="EJ33" s="208">
        <f t="shared" si="34"/>
        <v>401769</v>
      </c>
      <c r="EK33" s="2">
        <f t="shared" si="114"/>
      </c>
      <c r="EL33" s="2">
        <f t="shared" si="35"/>
      </c>
      <c r="EM33" s="34"/>
      <c r="EN33" s="7">
        <f t="shared" si="36"/>
        <v>0</v>
      </c>
      <c r="EO33" s="124">
        <f t="shared" si="37"/>
        <v>0</v>
      </c>
      <c r="EP33" s="214">
        <f t="shared" si="38"/>
      </c>
      <c r="EQ33" s="213">
        <f t="shared" si="39"/>
      </c>
      <c r="ER33" s="213">
        <f t="shared" si="40"/>
      </c>
      <c r="ES33" s="34">
        <v>10</v>
      </c>
      <c r="ET33" s="187">
        <v>10</v>
      </c>
      <c r="EU33" s="34">
        <v>10</v>
      </c>
      <c r="EV33" s="34"/>
      <c r="EW33" s="34"/>
      <c r="EX33" s="34"/>
      <c r="EY33" s="34"/>
      <c r="EZ33" s="34"/>
      <c r="FA33" s="34"/>
      <c r="FB33" s="34"/>
      <c r="FC33" s="2">
        <f t="shared" si="41"/>
        <v>50</v>
      </c>
      <c r="FD33" s="20"/>
      <c r="FE33" s="20">
        <f t="shared" si="115"/>
        <v>108</v>
      </c>
      <c r="FF33" s="2">
        <f t="shared" si="116"/>
        <v>0</v>
      </c>
      <c r="FG33" s="2">
        <f t="shared" si="117"/>
        <v>0</v>
      </c>
      <c r="FH33" s="2">
        <f t="shared" si="118"/>
        <v>0</v>
      </c>
      <c r="FI33" s="2">
        <f t="shared" si="119"/>
        <v>0</v>
      </c>
      <c r="FJ33" s="20"/>
      <c r="FK33" s="326">
        <f t="shared" si="120"/>
        <v>0</v>
      </c>
      <c r="FL33" s="326">
        <f t="shared" si="121"/>
        <v>0</v>
      </c>
      <c r="FM33" s="326">
        <f t="shared" si="122"/>
        <v>0</v>
      </c>
      <c r="FN33" s="326">
        <f t="shared" si="123"/>
        <v>0</v>
      </c>
      <c r="FP33" s="326">
        <f t="shared" si="124"/>
      </c>
      <c r="FQ33" s="326">
        <f t="shared" si="125"/>
      </c>
      <c r="FR33" s="326">
        <f t="shared" si="126"/>
      </c>
      <c r="FS33" s="326">
        <f t="shared" si="127"/>
      </c>
      <c r="GF33" s="2">
        <v>60</v>
      </c>
      <c r="GG33" s="2">
        <f t="shared" si="128"/>
        <v>0</v>
      </c>
      <c r="GH33" s="2">
        <f t="shared" si="129"/>
      </c>
      <c r="GI33" s="20">
        <f t="shared" si="130"/>
      </c>
      <c r="GJ33" s="20">
        <f t="shared" si="42"/>
      </c>
      <c r="GK33" s="20">
        <f t="shared" si="131"/>
      </c>
    </row>
    <row r="34" spans="1:193" s="29" customFormat="1" ht="15" customHeight="1" thickBot="1">
      <c r="A34" s="144"/>
      <c r="B34" s="222">
        <f t="shared" si="132"/>
        <v>109</v>
      </c>
      <c r="C34" s="26">
        <f t="shared" si="43"/>
        <v>20201231</v>
      </c>
      <c r="D34" s="26" t="str">
        <f t="shared" si="44"/>
        <v>2020</v>
      </c>
      <c r="E34" s="26" t="str">
        <f t="shared" si="45"/>
        <v>12</v>
      </c>
      <c r="F34" s="26" t="str">
        <f t="shared" si="46"/>
        <v>31</v>
      </c>
      <c r="G34" s="26" t="str">
        <f t="shared" si="47"/>
        <v>2020/12/31</v>
      </c>
      <c r="H34" s="117">
        <f t="shared" si="0"/>
        <v>27</v>
      </c>
      <c r="I34" s="117">
        <f t="shared" si="48"/>
        <v>0</v>
      </c>
      <c r="J34" s="26">
        <f>IF(BQ16=1,"*",IF(G34=DATE(YEAR(G34),MONTH(G34)+1,1)-1,IF($Z$8=DATE(YEAR($Z$8),MONTH($Z$8)+1,1)-1,0,DAY(DATE(YEAR($Z$8),MONTH($Z$8)+1,1)-1)-DAY($Z$8)),IF(DAY(G34)&gt;=DAY($Z$8),DAY(G34)-DAY($Z$8),DATE(YEAR($Z$8),MONTH($Z$8)+1,1)-1-$Z$8+DAY(G34))))</f>
        <v>18</v>
      </c>
      <c r="K34" s="118">
        <f t="shared" si="1"/>
        <v>27</v>
      </c>
      <c r="L34" s="118">
        <f t="shared" si="2"/>
        <v>0</v>
      </c>
      <c r="M34" s="118">
        <f t="shared" si="3"/>
        <v>18</v>
      </c>
      <c r="N34" s="573" t="str">
        <f>IF($S$5="公務人員",B34&amp;".1.1~"&amp;B34&amp;".12.31",B34&amp;".1.1~"&amp;B34&amp;".12.31")</f>
        <v>109.1.1~109.12.31</v>
      </c>
      <c r="O34" s="574"/>
      <c r="P34" s="574"/>
      <c r="Q34" s="575"/>
      <c r="R34" s="298">
        <f t="shared" si="134"/>
        <v>84</v>
      </c>
      <c r="S34" s="376">
        <f t="shared" si="49"/>
        <v>47</v>
      </c>
      <c r="T34" s="377">
        <f t="shared" si="50"/>
        <v>27</v>
      </c>
      <c r="U34" s="367">
        <f t="shared" si="51"/>
        <v>74</v>
      </c>
      <c r="V34" s="342">
        <v>60</v>
      </c>
      <c r="W34" s="452">
        <f t="shared" si="52"/>
      </c>
      <c r="X34" s="453"/>
      <c r="Y34" s="454"/>
      <c r="Z34" s="232">
        <f t="shared" si="53"/>
      </c>
      <c r="AA34" s="396" t="str">
        <f t="shared" si="54"/>
        <v>●</v>
      </c>
      <c r="AB34" s="397">
        <f t="shared" si="55"/>
      </c>
      <c r="AC34" s="397">
        <f t="shared" si="56"/>
      </c>
      <c r="AD34" s="396">
        <f t="shared" si="57"/>
      </c>
      <c r="AE34" s="396">
        <f t="shared" si="58"/>
      </c>
      <c r="AF34" s="233">
        <f t="shared" si="59"/>
      </c>
      <c r="AG34" s="313">
        <f t="shared" si="60"/>
      </c>
      <c r="AH34" s="234">
        <f t="shared" si="61"/>
      </c>
      <c r="AI34" s="322">
        <f t="shared" si="62"/>
      </c>
      <c r="AJ34" s="322">
        <f t="shared" si="63"/>
      </c>
      <c r="AK34" s="322">
        <f t="shared" si="64"/>
      </c>
      <c r="AL34" s="322">
        <f t="shared" si="65"/>
      </c>
      <c r="AM34" s="271">
        <f t="shared" si="66"/>
      </c>
      <c r="AN34" s="103"/>
      <c r="AO34" s="119">
        <f t="shared" si="4"/>
        <v>0</v>
      </c>
      <c r="AP34" s="119">
        <f t="shared" si="67"/>
        <v>0</v>
      </c>
      <c r="AQ34" s="119">
        <f t="shared" si="68"/>
        <v>0</v>
      </c>
      <c r="AR34" s="119">
        <f>IF(OR(AO34+AP34+AQ34+GG34&gt;0,SUM($AO$30:AQ33)+GG33&gt;0),1,0)</f>
        <v>0</v>
      </c>
      <c r="AS34" s="119">
        <f t="shared" si="5"/>
      </c>
      <c r="AT34" s="119">
        <f t="shared" si="69"/>
      </c>
      <c r="AU34" s="119">
        <f t="shared" si="70"/>
      </c>
      <c r="AV34" s="380">
        <f t="shared" si="71"/>
      </c>
      <c r="AW34" s="120">
        <f t="shared" si="6"/>
        <v>0</v>
      </c>
      <c r="AX34" s="120">
        <f t="shared" si="7"/>
        <v>0</v>
      </c>
      <c r="AY34" s="120">
        <f t="shared" si="72"/>
      </c>
      <c r="AZ34" s="120">
        <f t="shared" si="8"/>
        <v>47</v>
      </c>
      <c r="BA34" s="120">
        <f t="shared" si="9"/>
        <v>20201231</v>
      </c>
      <c r="BB34" s="120" t="str">
        <f t="shared" si="10"/>
        <v>109.1.1~109.12.31</v>
      </c>
      <c r="BC34" s="121">
        <f t="shared" si="73"/>
      </c>
      <c r="BD34" s="122">
        <f t="shared" si="74"/>
      </c>
      <c r="BE34" s="122"/>
      <c r="BF34" s="120"/>
      <c r="BG34" s="123">
        <f t="shared" si="75"/>
      </c>
      <c r="BH34" s="31">
        <f t="shared" si="76"/>
        <v>0</v>
      </c>
      <c r="BI34" s="7">
        <f t="shared" si="77"/>
        <v>0</v>
      </c>
      <c r="BJ34" s="7">
        <f t="shared" si="78"/>
        <v>0</v>
      </c>
      <c r="BK34" s="124">
        <f t="shared" si="11"/>
        <v>0</v>
      </c>
      <c r="BL34" s="124">
        <f t="shared" si="79"/>
      </c>
      <c r="BM34" s="124">
        <f t="shared" si="80"/>
        <v>0</v>
      </c>
      <c r="BN34" s="124">
        <f t="shared" si="81"/>
      </c>
      <c r="BO34" s="124">
        <f t="shared" si="82"/>
        <v>0</v>
      </c>
      <c r="BP34" s="124">
        <f t="shared" si="12"/>
      </c>
      <c r="BQ34" s="33"/>
      <c r="BR34" s="169">
        <v>4</v>
      </c>
      <c r="BS34" s="170"/>
      <c r="BT34" s="171"/>
      <c r="BU34" s="172"/>
      <c r="BV34" s="173"/>
      <c r="BW34" s="174"/>
      <c r="BX34" s="175"/>
      <c r="BY34" s="353">
        <f t="shared" si="13"/>
      </c>
      <c r="BZ34" s="354">
        <f t="shared" si="14"/>
      </c>
      <c r="CA34" s="355">
        <f t="shared" si="15"/>
      </c>
      <c r="CB34" s="125">
        <f t="shared" si="16"/>
        <v>3987</v>
      </c>
      <c r="CC34" s="126">
        <f t="shared" si="17"/>
        <v>3987</v>
      </c>
      <c r="CD34" s="126"/>
      <c r="CE34" s="127"/>
      <c r="CF34" s="127"/>
      <c r="CG34" s="127"/>
      <c r="CH34" s="128"/>
      <c r="CI34" s="128"/>
      <c r="CJ34" s="128"/>
      <c r="CK34" s="183">
        <f t="shared" si="18"/>
        <v>13</v>
      </c>
      <c r="CL34" s="7">
        <f t="shared" si="19"/>
        <v>12</v>
      </c>
      <c r="CM34" s="20">
        <f t="shared" si="20"/>
        <v>109</v>
      </c>
      <c r="CN34" s="382">
        <f t="shared" si="83"/>
        <v>44182</v>
      </c>
      <c r="CO34" s="185">
        <f t="shared" si="84"/>
        <v>12</v>
      </c>
      <c r="CP34" s="2">
        <f t="shared" si="21"/>
        <v>17</v>
      </c>
      <c r="CQ34" s="382">
        <f t="shared" si="85"/>
        <v>44178</v>
      </c>
      <c r="CR34" s="185">
        <f t="shared" si="135"/>
        <v>12</v>
      </c>
      <c r="CS34" s="2">
        <f t="shared" si="136"/>
        <v>13</v>
      </c>
      <c r="CT34" s="2" t="str">
        <f t="shared" si="86"/>
        <v>初任</v>
      </c>
      <c r="CU34" s="382">
        <f t="shared" si="87"/>
        <v>44178</v>
      </c>
      <c r="CV34" s="2">
        <f t="shared" si="88"/>
        <v>12</v>
      </c>
      <c r="CW34" s="2" t="str">
        <f t="shared" si="89"/>
        <v>生日</v>
      </c>
      <c r="CX34" s="382">
        <f t="shared" si="90"/>
        <v>44182</v>
      </c>
      <c r="CY34" s="2">
        <f t="shared" si="91"/>
        <v>12</v>
      </c>
      <c r="CZ34" s="2">
        <f t="shared" si="22"/>
        <v>0</v>
      </c>
      <c r="DA34" s="2">
        <f t="shared" si="92"/>
      </c>
      <c r="DB34" s="2">
        <f t="shared" si="23"/>
      </c>
      <c r="DC34" s="2">
        <f t="shared" si="93"/>
      </c>
      <c r="DD34" s="2">
        <f t="shared" si="94"/>
      </c>
      <c r="DE34" s="2">
        <f t="shared" si="95"/>
      </c>
      <c r="DF34" s="2">
        <f t="shared" si="24"/>
      </c>
      <c r="DG34" s="129">
        <f t="shared" si="25"/>
      </c>
      <c r="DH34" s="2">
        <f t="shared" si="26"/>
      </c>
      <c r="DI34" s="2">
        <f t="shared" si="96"/>
      </c>
      <c r="DJ34" s="129">
        <f t="shared" si="97"/>
      </c>
      <c r="DK34" s="2">
        <f t="shared" si="27"/>
      </c>
      <c r="DL34" s="2">
        <f t="shared" si="98"/>
      </c>
      <c r="DM34" s="129">
        <f t="shared" si="99"/>
      </c>
      <c r="DN34" s="2">
        <f t="shared" si="28"/>
      </c>
      <c r="DO34" s="2">
        <f t="shared" si="29"/>
      </c>
      <c r="DP34" s="129">
        <f t="shared" si="100"/>
      </c>
      <c r="DQ34" s="2">
        <f t="shared" si="30"/>
      </c>
      <c r="DR34" s="2">
        <f t="shared" si="31"/>
      </c>
      <c r="DS34" s="129">
        <f t="shared" si="101"/>
      </c>
      <c r="DT34" s="2">
        <f t="shared" si="32"/>
      </c>
      <c r="DU34" s="2">
        <f t="shared" si="33"/>
      </c>
      <c r="DV34" s="129">
        <f t="shared" si="102"/>
      </c>
      <c r="DW34" s="2">
        <f t="shared" si="103"/>
      </c>
      <c r="DX34" s="2">
        <f t="shared" si="104"/>
      </c>
      <c r="DY34" s="129">
        <f t="shared" si="105"/>
      </c>
      <c r="DZ34" s="129"/>
      <c r="EA34" s="21">
        <f t="shared" si="106"/>
      </c>
      <c r="EB34" s="382">
        <f t="shared" si="107"/>
        <v>401769</v>
      </c>
      <c r="EC34" s="382">
        <f t="shared" si="108"/>
        <v>401769</v>
      </c>
      <c r="ED34" s="2">
        <f t="shared" si="109"/>
      </c>
      <c r="EE34" s="382">
        <f t="shared" si="110"/>
        <v>401769</v>
      </c>
      <c r="EF34" s="382">
        <f t="shared" si="111"/>
        <v>401769</v>
      </c>
      <c r="EG34" s="382">
        <f t="shared" si="112"/>
        <v>401769</v>
      </c>
      <c r="EH34" s="382"/>
      <c r="EI34" s="382">
        <f t="shared" si="113"/>
        <v>401769</v>
      </c>
      <c r="EJ34" s="208">
        <f t="shared" si="34"/>
        <v>401769</v>
      </c>
      <c r="EK34" s="2">
        <f t="shared" si="114"/>
      </c>
      <c r="EL34" s="2">
        <f t="shared" si="35"/>
      </c>
      <c r="EM34" s="34"/>
      <c r="EN34" s="7">
        <f t="shared" si="36"/>
        <v>0</v>
      </c>
      <c r="EO34" s="124">
        <f t="shared" si="37"/>
        <v>0</v>
      </c>
      <c r="EP34" s="214">
        <f t="shared" si="38"/>
      </c>
      <c r="EQ34" s="213">
        <f t="shared" si="39"/>
      </c>
      <c r="ER34" s="213">
        <f t="shared" si="40"/>
      </c>
      <c r="ES34" s="34">
        <v>11</v>
      </c>
      <c r="ET34" s="187">
        <v>11</v>
      </c>
      <c r="EU34" s="34">
        <v>11</v>
      </c>
      <c r="EV34" s="34"/>
      <c r="EW34" s="34"/>
      <c r="EX34" s="34"/>
      <c r="EY34" s="34"/>
      <c r="EZ34" s="34"/>
      <c r="FA34" s="34"/>
      <c r="FB34" s="34"/>
      <c r="FC34" s="2">
        <f t="shared" si="41"/>
        <v>50</v>
      </c>
      <c r="FD34" s="20"/>
      <c r="FE34" s="20">
        <f t="shared" si="115"/>
        <v>109</v>
      </c>
      <c r="FF34" s="2">
        <f t="shared" si="116"/>
        <v>0</v>
      </c>
      <c r="FG34" s="2">
        <f t="shared" si="117"/>
        <v>0</v>
      </c>
      <c r="FH34" s="2">
        <f t="shared" si="118"/>
        <v>0</v>
      </c>
      <c r="FI34" s="2">
        <f t="shared" si="119"/>
        <v>0</v>
      </c>
      <c r="FJ34" s="20"/>
      <c r="FK34" s="326">
        <f t="shared" si="120"/>
        <v>0</v>
      </c>
      <c r="FL34" s="326">
        <f t="shared" si="121"/>
        <v>0</v>
      </c>
      <c r="FM34" s="326">
        <f t="shared" si="122"/>
        <v>0</v>
      </c>
      <c r="FN34" s="326">
        <f t="shared" si="123"/>
        <v>0</v>
      </c>
      <c r="FP34" s="326">
        <f t="shared" si="124"/>
      </c>
      <c r="FQ34" s="326">
        <f t="shared" si="125"/>
      </c>
      <c r="FR34" s="326">
        <f t="shared" si="126"/>
      </c>
      <c r="FS34" s="326">
        <f t="shared" si="127"/>
      </c>
      <c r="GF34" s="2">
        <v>60</v>
      </c>
      <c r="GG34" s="2">
        <f t="shared" si="128"/>
        <v>0</v>
      </c>
      <c r="GH34" s="2">
        <f t="shared" si="129"/>
      </c>
      <c r="GI34" s="20">
        <f t="shared" si="130"/>
      </c>
      <c r="GJ34" s="20">
        <f t="shared" si="42"/>
      </c>
      <c r="GK34" s="20">
        <f t="shared" si="131"/>
      </c>
    </row>
    <row r="35" spans="1:193" s="29" customFormat="1" ht="15" customHeight="1" thickTop="1">
      <c r="A35" s="144"/>
      <c r="B35" s="222">
        <f t="shared" si="132"/>
        <v>110</v>
      </c>
      <c r="C35" s="26">
        <f t="shared" si="43"/>
        <v>20211231</v>
      </c>
      <c r="D35" s="26" t="str">
        <f t="shared" si="44"/>
        <v>2021</v>
      </c>
      <c r="E35" s="26" t="str">
        <f t="shared" si="45"/>
        <v>12</v>
      </c>
      <c r="F35" s="26" t="str">
        <f t="shared" si="46"/>
        <v>31</v>
      </c>
      <c r="G35" s="26" t="str">
        <f t="shared" si="47"/>
        <v>2021/12/31</v>
      </c>
      <c r="H35" s="117">
        <f t="shared" si="0"/>
        <v>28</v>
      </c>
      <c r="I35" s="117">
        <f t="shared" si="48"/>
        <v>0</v>
      </c>
      <c r="J35" s="26">
        <f aca="true" t="shared" si="137" ref="J35:J66">IF(BQ27=1,"*",IF(G35=DATE(YEAR(G35),MONTH(G35)+1,1)-1,IF($Z$8=DATE(YEAR($Z$8),MONTH($Z$8)+1,1)-1,0,DAY(DATE(YEAR($Z$8),MONTH($Z$8)+1,1)-1)-DAY($Z$8)),IF(DAY(G35)&gt;=DAY($Z$8),DAY(G35)-DAY($Z$8),DATE(YEAR($Z$8),MONTH($Z$8)+1,1)-1-$Z$8+DAY(G35))))</f>
        <v>18</v>
      </c>
      <c r="K35" s="118">
        <f t="shared" si="1"/>
        <v>28</v>
      </c>
      <c r="L35" s="118">
        <f t="shared" si="2"/>
        <v>0</v>
      </c>
      <c r="M35" s="118">
        <f t="shared" si="3"/>
        <v>18</v>
      </c>
      <c r="N35" s="589" t="str">
        <f t="shared" si="133"/>
        <v>110.1.1~110.12.31</v>
      </c>
      <c r="O35" s="590"/>
      <c r="P35" s="590"/>
      <c r="Q35" s="591"/>
      <c r="R35" s="299">
        <f t="shared" si="134"/>
        <v>85</v>
      </c>
      <c r="S35" s="378">
        <f t="shared" si="49"/>
        <v>48</v>
      </c>
      <c r="T35" s="379">
        <f t="shared" si="50"/>
        <v>28</v>
      </c>
      <c r="U35" s="368">
        <f t="shared" si="51"/>
        <v>76</v>
      </c>
      <c r="V35" s="340">
        <v>60</v>
      </c>
      <c r="W35" s="549">
        <f t="shared" si="52"/>
      </c>
      <c r="X35" s="550"/>
      <c r="Y35" s="551"/>
      <c r="Z35" s="272">
        <f t="shared" si="53"/>
      </c>
      <c r="AA35" s="398" t="str">
        <f t="shared" si="54"/>
        <v>●</v>
      </c>
      <c r="AB35" s="399">
        <f t="shared" si="55"/>
      </c>
      <c r="AC35" s="399">
        <f t="shared" si="56"/>
      </c>
      <c r="AD35" s="398">
        <f t="shared" si="57"/>
      </c>
      <c r="AE35" s="398">
        <f t="shared" si="58"/>
      </c>
      <c r="AF35" s="273">
        <f t="shared" si="59"/>
      </c>
      <c r="AG35" s="315">
        <f t="shared" si="60"/>
      </c>
      <c r="AH35" s="274">
        <f t="shared" si="61"/>
      </c>
      <c r="AI35" s="323">
        <f t="shared" si="62"/>
      </c>
      <c r="AJ35" s="323">
        <f t="shared" si="63"/>
      </c>
      <c r="AK35" s="323">
        <f t="shared" si="64"/>
      </c>
      <c r="AL35" s="323">
        <f t="shared" si="65"/>
      </c>
      <c r="AM35" s="275">
        <f t="shared" si="66"/>
      </c>
      <c r="AN35" s="103"/>
      <c r="AO35" s="119">
        <f t="shared" si="4"/>
        <v>0</v>
      </c>
      <c r="AP35" s="119">
        <f t="shared" si="67"/>
        <v>0</v>
      </c>
      <c r="AQ35" s="119">
        <f t="shared" si="68"/>
        <v>0</v>
      </c>
      <c r="AR35" s="119">
        <f>IF(OR(AO35+AP35+AQ35+GG35&gt;0,SUM($AO$30:AQ34)+GG34&gt;0),1,0)</f>
        <v>0</v>
      </c>
      <c r="AS35" s="119">
        <f t="shared" si="5"/>
      </c>
      <c r="AT35" s="119">
        <f t="shared" si="69"/>
      </c>
      <c r="AU35" s="119">
        <f t="shared" si="70"/>
      </c>
      <c r="AV35" s="380">
        <f t="shared" si="71"/>
      </c>
      <c r="AW35" s="120">
        <f t="shared" si="6"/>
        <v>0</v>
      </c>
      <c r="AX35" s="120">
        <f t="shared" si="7"/>
        <v>0</v>
      </c>
      <c r="AY35" s="120">
        <f t="shared" si="72"/>
      </c>
      <c r="AZ35" s="120">
        <f t="shared" si="8"/>
        <v>48</v>
      </c>
      <c r="BA35" s="120">
        <f t="shared" si="9"/>
        <v>20211231</v>
      </c>
      <c r="BB35" s="120" t="str">
        <f t="shared" si="10"/>
        <v>110.1.1~110.12.31</v>
      </c>
      <c r="BC35" s="121">
        <f t="shared" si="73"/>
      </c>
      <c r="BD35" s="122">
        <f t="shared" si="74"/>
      </c>
      <c r="BE35" s="122"/>
      <c r="BF35" s="120"/>
      <c r="BG35" s="123">
        <f t="shared" si="75"/>
      </c>
      <c r="BH35" s="31">
        <f t="shared" si="76"/>
        <v>0</v>
      </c>
      <c r="BI35" s="7">
        <f t="shared" si="77"/>
        <v>0</v>
      </c>
      <c r="BJ35" s="7">
        <f t="shared" si="78"/>
        <v>0</v>
      </c>
      <c r="BK35" s="124">
        <f t="shared" si="11"/>
        <v>0</v>
      </c>
      <c r="BL35" s="124">
        <f t="shared" si="79"/>
      </c>
      <c r="BM35" s="124">
        <f t="shared" si="80"/>
        <v>0</v>
      </c>
      <c r="BN35" s="124">
        <f t="shared" si="81"/>
      </c>
      <c r="BO35" s="124">
        <f t="shared" si="82"/>
        <v>0</v>
      </c>
      <c r="BP35" s="124">
        <f t="shared" si="12"/>
      </c>
      <c r="BQ35" s="33"/>
      <c r="BR35" s="169">
        <v>5</v>
      </c>
      <c r="BS35" s="170"/>
      <c r="BT35" s="171"/>
      <c r="BU35" s="172"/>
      <c r="BV35" s="173"/>
      <c r="BW35" s="174"/>
      <c r="BX35" s="175"/>
      <c r="BY35" s="353">
        <f t="shared" si="13"/>
      </c>
      <c r="BZ35" s="354">
        <f t="shared" si="14"/>
      </c>
      <c r="CA35" s="355">
        <f t="shared" si="15"/>
      </c>
      <c r="CB35" s="125">
        <f t="shared" si="16"/>
        <v>3987</v>
      </c>
      <c r="CC35" s="126">
        <f t="shared" si="17"/>
        <v>3987</v>
      </c>
      <c r="CD35" s="126"/>
      <c r="CE35" s="127"/>
      <c r="CF35" s="127"/>
      <c r="CG35" s="127"/>
      <c r="CH35" s="128"/>
      <c r="CI35" s="128"/>
      <c r="CJ35" s="128"/>
      <c r="CK35" s="183">
        <f t="shared" si="18"/>
        <v>13</v>
      </c>
      <c r="CL35" s="7">
        <f t="shared" si="19"/>
        <v>12</v>
      </c>
      <c r="CM35" s="20">
        <f t="shared" si="20"/>
        <v>110</v>
      </c>
      <c r="CN35" s="382">
        <f t="shared" si="83"/>
        <v>44547</v>
      </c>
      <c r="CO35" s="185">
        <f t="shared" si="84"/>
        <v>12</v>
      </c>
      <c r="CP35" s="2">
        <f t="shared" si="21"/>
        <v>17</v>
      </c>
      <c r="CQ35" s="382">
        <f t="shared" si="85"/>
        <v>44543</v>
      </c>
      <c r="CR35" s="185">
        <f t="shared" si="135"/>
        <v>12</v>
      </c>
      <c r="CS35" s="2">
        <f t="shared" si="136"/>
        <v>13</v>
      </c>
      <c r="CT35" s="2" t="str">
        <f t="shared" si="86"/>
        <v>初任</v>
      </c>
      <c r="CU35" s="382">
        <f t="shared" si="87"/>
        <v>44543</v>
      </c>
      <c r="CV35" s="2">
        <f t="shared" si="88"/>
        <v>12</v>
      </c>
      <c r="CW35" s="2" t="str">
        <f t="shared" si="89"/>
        <v>生日</v>
      </c>
      <c r="CX35" s="382">
        <f t="shared" si="90"/>
        <v>44547</v>
      </c>
      <c r="CY35" s="2">
        <f t="shared" si="91"/>
        <v>12</v>
      </c>
      <c r="CZ35" s="2">
        <f t="shared" si="22"/>
        <v>0</v>
      </c>
      <c r="DA35" s="2">
        <f t="shared" si="92"/>
      </c>
      <c r="DB35" s="2">
        <f t="shared" si="23"/>
      </c>
      <c r="DC35" s="2">
        <f t="shared" si="93"/>
      </c>
      <c r="DD35" s="2">
        <f t="shared" si="94"/>
      </c>
      <c r="DE35" s="2">
        <f t="shared" si="95"/>
      </c>
      <c r="DF35" s="2">
        <f t="shared" si="24"/>
      </c>
      <c r="DG35" s="129">
        <f t="shared" si="25"/>
      </c>
      <c r="DH35" s="2">
        <f t="shared" si="26"/>
      </c>
      <c r="DI35" s="2">
        <f t="shared" si="96"/>
      </c>
      <c r="DJ35" s="129">
        <f t="shared" si="97"/>
      </c>
      <c r="DK35" s="2">
        <f t="shared" si="27"/>
      </c>
      <c r="DL35" s="2">
        <f t="shared" si="98"/>
      </c>
      <c r="DM35" s="129">
        <f t="shared" si="99"/>
      </c>
      <c r="DN35" s="2">
        <f t="shared" si="28"/>
      </c>
      <c r="DO35" s="2">
        <f t="shared" si="29"/>
      </c>
      <c r="DP35" s="129">
        <f t="shared" si="100"/>
      </c>
      <c r="DQ35" s="2">
        <f t="shared" si="30"/>
      </c>
      <c r="DR35" s="2">
        <f t="shared" si="31"/>
      </c>
      <c r="DS35" s="129">
        <f t="shared" si="101"/>
      </c>
      <c r="DT35" s="2">
        <f t="shared" si="32"/>
      </c>
      <c r="DU35" s="2">
        <f t="shared" si="33"/>
      </c>
      <c r="DV35" s="129">
        <f t="shared" si="102"/>
      </c>
      <c r="DW35" s="2">
        <f t="shared" si="103"/>
      </c>
      <c r="DX35" s="2">
        <f t="shared" si="104"/>
      </c>
      <c r="DY35" s="129">
        <f t="shared" si="105"/>
      </c>
      <c r="DZ35" s="129"/>
      <c r="EA35" s="21">
        <f t="shared" si="106"/>
      </c>
      <c r="EB35" s="382">
        <f t="shared" si="107"/>
        <v>401769</v>
      </c>
      <c r="EC35" s="382">
        <f t="shared" si="108"/>
        <v>401769</v>
      </c>
      <c r="ED35" s="2">
        <f t="shared" si="109"/>
      </c>
      <c r="EE35" s="382">
        <f t="shared" si="110"/>
        <v>401769</v>
      </c>
      <c r="EF35" s="382">
        <f t="shared" si="111"/>
        <v>401769</v>
      </c>
      <c r="EG35" s="382">
        <f t="shared" si="112"/>
        <v>401769</v>
      </c>
      <c r="EH35" s="382"/>
      <c r="EI35" s="382">
        <f t="shared" si="113"/>
        <v>401769</v>
      </c>
      <c r="EJ35" s="208">
        <f t="shared" si="34"/>
        <v>401769</v>
      </c>
      <c r="EK35" s="2">
        <f t="shared" si="114"/>
      </c>
      <c r="EL35" s="2">
        <f t="shared" si="35"/>
      </c>
      <c r="EM35" s="34"/>
      <c r="EN35" s="7">
        <f t="shared" si="36"/>
        <v>0</v>
      </c>
      <c r="EO35" s="124">
        <f t="shared" si="37"/>
        <v>0</v>
      </c>
      <c r="EP35" s="214">
        <f t="shared" si="38"/>
      </c>
      <c r="EQ35" s="213">
        <f t="shared" si="39"/>
      </c>
      <c r="ER35" s="213">
        <f t="shared" si="40"/>
      </c>
      <c r="ES35" s="34">
        <v>12</v>
      </c>
      <c r="ET35" s="187">
        <v>12</v>
      </c>
      <c r="EU35" s="34">
        <v>12</v>
      </c>
      <c r="EV35" s="34"/>
      <c r="EW35" s="34"/>
      <c r="EX35" s="34"/>
      <c r="EY35" s="34"/>
      <c r="EZ35" s="34"/>
      <c r="FA35" s="34"/>
      <c r="FB35" s="34"/>
      <c r="FC35" s="2">
        <f t="shared" si="41"/>
        <v>55</v>
      </c>
      <c r="FD35" s="20"/>
      <c r="FE35" s="20">
        <f t="shared" si="115"/>
        <v>110</v>
      </c>
      <c r="FF35" s="2">
        <f t="shared" si="116"/>
        <v>0</v>
      </c>
      <c r="FG35" s="2">
        <f t="shared" si="117"/>
        <v>0</v>
      </c>
      <c r="FH35" s="2">
        <f t="shared" si="118"/>
        <v>0</v>
      </c>
      <c r="FI35" s="2">
        <f t="shared" si="119"/>
        <v>0</v>
      </c>
      <c r="FJ35" s="20"/>
      <c r="FK35" s="326">
        <f t="shared" si="120"/>
        <v>0</v>
      </c>
      <c r="FL35" s="326">
        <f t="shared" si="121"/>
        <v>0</v>
      </c>
      <c r="FM35" s="326">
        <f t="shared" si="122"/>
        <v>0</v>
      </c>
      <c r="FN35" s="326">
        <f t="shared" si="123"/>
        <v>0</v>
      </c>
      <c r="FP35" s="326">
        <f t="shared" si="124"/>
      </c>
      <c r="FQ35" s="326">
        <f t="shared" si="125"/>
      </c>
      <c r="FR35" s="326">
        <f t="shared" si="126"/>
      </c>
      <c r="FS35" s="326">
        <f t="shared" si="127"/>
      </c>
      <c r="GF35" s="2">
        <v>60</v>
      </c>
      <c r="GG35" s="2">
        <f t="shared" si="128"/>
        <v>0</v>
      </c>
      <c r="GH35" s="2">
        <f t="shared" si="129"/>
      </c>
      <c r="GI35" s="20">
        <f t="shared" si="130"/>
      </c>
      <c r="GJ35" s="20">
        <f t="shared" si="42"/>
      </c>
      <c r="GK35" s="20">
        <f t="shared" si="131"/>
      </c>
    </row>
    <row r="36" spans="1:193" s="29" customFormat="1" ht="15" customHeight="1">
      <c r="A36" s="144"/>
      <c r="B36" s="222">
        <f t="shared" si="132"/>
        <v>111</v>
      </c>
      <c r="C36" s="26">
        <f t="shared" si="43"/>
        <v>20221231</v>
      </c>
      <c r="D36" s="26" t="str">
        <f t="shared" si="44"/>
        <v>2022</v>
      </c>
      <c r="E36" s="26" t="str">
        <f t="shared" si="45"/>
        <v>12</v>
      </c>
      <c r="F36" s="26" t="str">
        <f t="shared" si="46"/>
        <v>31</v>
      </c>
      <c r="G36" s="26" t="str">
        <f t="shared" si="47"/>
        <v>2022/12/31</v>
      </c>
      <c r="H36" s="117">
        <f t="shared" si="0"/>
        <v>29</v>
      </c>
      <c r="I36" s="117">
        <f t="shared" si="48"/>
        <v>0</v>
      </c>
      <c r="J36" s="26">
        <f t="shared" si="137"/>
        <v>18</v>
      </c>
      <c r="K36" s="118">
        <f t="shared" si="1"/>
        <v>29</v>
      </c>
      <c r="L36" s="118">
        <f t="shared" si="2"/>
        <v>0</v>
      </c>
      <c r="M36" s="118">
        <f t="shared" si="3"/>
        <v>18</v>
      </c>
      <c r="N36" s="576" t="str">
        <f t="shared" si="133"/>
        <v>111.1.1~111.12.31</v>
      </c>
      <c r="O36" s="577"/>
      <c r="P36" s="577"/>
      <c r="Q36" s="578"/>
      <c r="R36" s="221">
        <f t="shared" si="134"/>
        <v>86</v>
      </c>
      <c r="S36" s="361">
        <f t="shared" si="49"/>
        <v>49</v>
      </c>
      <c r="T36" s="362">
        <f t="shared" si="50"/>
        <v>29</v>
      </c>
      <c r="U36" s="365">
        <f t="shared" si="51"/>
        <v>78</v>
      </c>
      <c r="V36" s="341">
        <v>61</v>
      </c>
      <c r="W36" s="429">
        <f t="shared" si="52"/>
      </c>
      <c r="X36" s="430"/>
      <c r="Y36" s="431"/>
      <c r="Z36" s="230">
        <f t="shared" si="53"/>
      </c>
      <c r="AA36" s="220" t="str">
        <f t="shared" si="54"/>
        <v>○</v>
      </c>
      <c r="AB36" s="393" t="str">
        <f t="shared" si="55"/>
        <v>●</v>
      </c>
      <c r="AC36" s="393">
        <f t="shared" si="56"/>
      </c>
      <c r="AD36" s="220">
        <f t="shared" si="57"/>
      </c>
      <c r="AE36" s="220">
        <f t="shared" si="58"/>
      </c>
      <c r="AF36" s="231">
        <f t="shared" si="59"/>
      </c>
      <c r="AG36" s="310">
        <f t="shared" si="60"/>
      </c>
      <c r="AH36" s="228">
        <f t="shared" si="61"/>
      </c>
      <c r="AI36" s="321">
        <f t="shared" si="62"/>
      </c>
      <c r="AJ36" s="321">
        <f t="shared" si="63"/>
      </c>
      <c r="AK36" s="321">
        <f t="shared" si="64"/>
      </c>
      <c r="AL36" s="321">
        <f t="shared" si="65"/>
      </c>
      <c r="AM36" s="282">
        <f t="shared" si="66"/>
      </c>
      <c r="AN36" s="103"/>
      <c r="AO36" s="119">
        <f t="shared" si="4"/>
        <v>0</v>
      </c>
      <c r="AP36" s="119">
        <f t="shared" si="67"/>
        <v>0</v>
      </c>
      <c r="AQ36" s="119">
        <f t="shared" si="68"/>
        <v>0</v>
      </c>
      <c r="AR36" s="119">
        <f>IF(OR(AO36+AP36+AQ36+GG36&gt;0,SUM($AO$30:AQ35)+GG35&gt;0),1,0)</f>
        <v>0</v>
      </c>
      <c r="AS36" s="119">
        <f t="shared" si="5"/>
      </c>
      <c r="AT36" s="119">
        <f t="shared" si="69"/>
      </c>
      <c r="AU36" s="119">
        <f t="shared" si="70"/>
      </c>
      <c r="AV36" s="380">
        <f t="shared" si="71"/>
      </c>
      <c r="AW36" s="120">
        <f t="shared" si="6"/>
        <v>0</v>
      </c>
      <c r="AX36" s="120">
        <f t="shared" si="7"/>
        <v>0</v>
      </c>
      <c r="AY36" s="120">
        <f t="shared" si="72"/>
      </c>
      <c r="AZ36" s="120">
        <f t="shared" si="8"/>
        <v>49</v>
      </c>
      <c r="BA36" s="120">
        <f t="shared" si="9"/>
        <v>20221231</v>
      </c>
      <c r="BB36" s="120" t="str">
        <f t="shared" si="10"/>
        <v>111.1.1~111.12.31</v>
      </c>
      <c r="BC36" s="121">
        <f t="shared" si="73"/>
      </c>
      <c r="BD36" s="122">
        <f t="shared" si="74"/>
      </c>
      <c r="BE36" s="122"/>
      <c r="BF36" s="120"/>
      <c r="BG36" s="123">
        <f t="shared" si="75"/>
      </c>
      <c r="BH36" s="31">
        <f t="shared" si="76"/>
        <v>0</v>
      </c>
      <c r="BI36" s="7">
        <f t="shared" si="77"/>
        <v>0</v>
      </c>
      <c r="BJ36" s="7">
        <f t="shared" si="78"/>
        <v>0</v>
      </c>
      <c r="BK36" s="124">
        <f t="shared" si="11"/>
        <v>0</v>
      </c>
      <c r="BL36" s="124">
        <f t="shared" si="79"/>
      </c>
      <c r="BM36" s="124">
        <f t="shared" si="80"/>
        <v>0</v>
      </c>
      <c r="BN36" s="124">
        <f t="shared" si="81"/>
      </c>
      <c r="BO36" s="124">
        <f t="shared" si="82"/>
        <v>0</v>
      </c>
      <c r="BP36" s="124">
        <f t="shared" si="12"/>
      </c>
      <c r="BQ36" s="33"/>
      <c r="BR36" s="169">
        <v>6</v>
      </c>
      <c r="BS36" s="170"/>
      <c r="BT36" s="171"/>
      <c r="BU36" s="172"/>
      <c r="BV36" s="173"/>
      <c r="BW36" s="174"/>
      <c r="BX36" s="175"/>
      <c r="BY36" s="353">
        <f t="shared" si="13"/>
      </c>
      <c r="BZ36" s="354">
        <f t="shared" si="14"/>
      </c>
      <c r="CA36" s="355">
        <f t="shared" si="15"/>
      </c>
      <c r="CB36" s="125">
        <f t="shared" si="16"/>
        <v>3987</v>
      </c>
      <c r="CC36" s="126">
        <f t="shared" si="17"/>
        <v>3987</v>
      </c>
      <c r="CD36" s="126"/>
      <c r="CE36" s="127"/>
      <c r="CF36" s="127"/>
      <c r="CG36" s="127"/>
      <c r="CH36" s="128"/>
      <c r="CI36" s="128"/>
      <c r="CJ36" s="128"/>
      <c r="CK36" s="183">
        <f t="shared" si="18"/>
        <v>13</v>
      </c>
      <c r="CL36" s="7">
        <f t="shared" si="19"/>
        <v>12</v>
      </c>
      <c r="CM36" s="20">
        <f t="shared" si="20"/>
        <v>111</v>
      </c>
      <c r="CN36" s="382">
        <f t="shared" si="83"/>
        <v>44912</v>
      </c>
      <c r="CO36" s="185">
        <f t="shared" si="84"/>
        <v>12</v>
      </c>
      <c r="CP36" s="2">
        <f t="shared" si="21"/>
        <v>17</v>
      </c>
      <c r="CQ36" s="382">
        <f t="shared" si="85"/>
        <v>44908</v>
      </c>
      <c r="CR36" s="185">
        <f t="shared" si="135"/>
        <v>12</v>
      </c>
      <c r="CS36" s="2">
        <f t="shared" si="136"/>
        <v>13</v>
      </c>
      <c r="CT36" s="2" t="str">
        <f t="shared" si="86"/>
        <v>初任</v>
      </c>
      <c r="CU36" s="382">
        <f t="shared" si="87"/>
        <v>44908</v>
      </c>
      <c r="CV36" s="2">
        <f t="shared" si="88"/>
        <v>12</v>
      </c>
      <c r="CW36" s="2" t="str">
        <f t="shared" si="89"/>
        <v>生日</v>
      </c>
      <c r="CX36" s="382">
        <f t="shared" si="90"/>
        <v>44912</v>
      </c>
      <c r="CY36" s="2">
        <f t="shared" si="91"/>
        <v>12</v>
      </c>
      <c r="CZ36" s="2">
        <f t="shared" si="22"/>
        <v>0</v>
      </c>
      <c r="DA36" s="2">
        <f t="shared" si="92"/>
      </c>
      <c r="DB36" s="2">
        <f t="shared" si="23"/>
      </c>
      <c r="DC36" s="2">
        <f t="shared" si="93"/>
      </c>
      <c r="DD36" s="2">
        <f t="shared" si="94"/>
      </c>
      <c r="DE36" s="2">
        <f t="shared" si="95"/>
      </c>
      <c r="DF36" s="2">
        <f t="shared" si="24"/>
      </c>
      <c r="DG36" s="129">
        <f t="shared" si="25"/>
      </c>
      <c r="DH36" s="2">
        <f t="shared" si="26"/>
      </c>
      <c r="DI36" s="2">
        <f t="shared" si="96"/>
      </c>
      <c r="DJ36" s="129">
        <f t="shared" si="97"/>
      </c>
      <c r="DK36" s="2">
        <f t="shared" si="27"/>
      </c>
      <c r="DL36" s="2">
        <f t="shared" si="98"/>
      </c>
      <c r="DM36" s="129">
        <f t="shared" si="99"/>
      </c>
      <c r="DN36" s="2">
        <f t="shared" si="28"/>
      </c>
      <c r="DO36" s="2">
        <f t="shared" si="29"/>
      </c>
      <c r="DP36" s="129">
        <f t="shared" si="100"/>
      </c>
      <c r="DQ36" s="2">
        <f t="shared" si="30"/>
      </c>
      <c r="DR36" s="2">
        <f t="shared" si="31"/>
      </c>
      <c r="DS36" s="129">
        <f t="shared" si="101"/>
      </c>
      <c r="DT36" s="2">
        <f t="shared" si="32"/>
      </c>
      <c r="DU36" s="2">
        <f t="shared" si="33"/>
      </c>
      <c r="DV36" s="129">
        <f t="shared" si="102"/>
      </c>
      <c r="DW36" s="2">
        <f t="shared" si="103"/>
      </c>
      <c r="DX36" s="2">
        <f t="shared" si="104"/>
      </c>
      <c r="DY36" s="129">
        <f t="shared" si="105"/>
      </c>
      <c r="DZ36" s="129"/>
      <c r="EA36" s="21">
        <f t="shared" si="106"/>
      </c>
      <c r="EB36" s="382">
        <f t="shared" si="107"/>
        <v>401769</v>
      </c>
      <c r="EC36" s="382">
        <f t="shared" si="108"/>
        <v>401769</v>
      </c>
      <c r="ED36" s="2">
        <f t="shared" si="109"/>
      </c>
      <c r="EE36" s="382">
        <f t="shared" si="110"/>
        <v>401769</v>
      </c>
      <c r="EF36" s="382">
        <f t="shared" si="111"/>
        <v>401769</v>
      </c>
      <c r="EG36" s="382">
        <f t="shared" si="112"/>
        <v>401769</v>
      </c>
      <c r="EH36" s="382"/>
      <c r="EI36" s="382">
        <f t="shared" si="113"/>
        <v>401769</v>
      </c>
      <c r="EJ36" s="208">
        <f t="shared" si="34"/>
        <v>401769</v>
      </c>
      <c r="EK36" s="2">
        <f t="shared" si="114"/>
      </c>
      <c r="EL36" s="2">
        <f t="shared" si="35"/>
      </c>
      <c r="EM36" s="34"/>
      <c r="EN36" s="7">
        <f t="shared" si="36"/>
        <v>0</v>
      </c>
      <c r="EO36" s="124">
        <f t="shared" si="37"/>
        <v>0</v>
      </c>
      <c r="EP36" s="214">
        <f t="shared" si="38"/>
      </c>
      <c r="EQ36" s="213">
        <f t="shared" si="39"/>
      </c>
      <c r="ER36" s="213">
        <f t="shared" si="40"/>
      </c>
      <c r="ES36" s="34">
        <v>1</v>
      </c>
      <c r="ET36" s="187">
        <v>13</v>
      </c>
      <c r="EU36" s="34">
        <v>1</v>
      </c>
      <c r="EV36" s="34"/>
      <c r="EW36" s="34"/>
      <c r="EX36" s="34"/>
      <c r="EY36" s="34"/>
      <c r="EZ36" s="34"/>
      <c r="FA36" s="34"/>
      <c r="FB36" s="34"/>
      <c r="FC36" s="2">
        <f t="shared" si="41"/>
        <v>55</v>
      </c>
      <c r="FD36" s="20"/>
      <c r="FE36" s="20">
        <f t="shared" si="115"/>
        <v>111</v>
      </c>
      <c r="FF36" s="2">
        <f t="shared" si="116"/>
        <v>0</v>
      </c>
      <c r="FG36" s="2">
        <f t="shared" si="117"/>
        <v>0</v>
      </c>
      <c r="FH36" s="2">
        <f t="shared" si="118"/>
        <v>0</v>
      </c>
      <c r="FI36" s="2">
        <f t="shared" si="119"/>
        <v>0</v>
      </c>
      <c r="FJ36" s="20"/>
      <c r="FK36" s="326">
        <f t="shared" si="120"/>
        <v>0</v>
      </c>
      <c r="FL36" s="326">
        <f t="shared" si="121"/>
        <v>0</v>
      </c>
      <c r="FM36" s="326">
        <f t="shared" si="122"/>
        <v>0</v>
      </c>
      <c r="FN36" s="326">
        <f t="shared" si="123"/>
        <v>0</v>
      </c>
      <c r="FP36" s="326">
        <f t="shared" si="124"/>
      </c>
      <c r="FQ36" s="326">
        <f t="shared" si="125"/>
      </c>
      <c r="FR36" s="326">
        <f t="shared" si="126"/>
      </c>
      <c r="FS36" s="326">
        <f t="shared" si="127"/>
      </c>
      <c r="GF36" s="2">
        <v>61</v>
      </c>
      <c r="GG36" s="2">
        <f t="shared" si="128"/>
        <v>0</v>
      </c>
      <c r="GH36" s="2">
        <f t="shared" si="129"/>
      </c>
      <c r="GI36" s="20">
        <f t="shared" si="130"/>
      </c>
      <c r="GJ36" s="20">
        <f t="shared" si="42"/>
      </c>
      <c r="GK36" s="20">
        <f t="shared" si="131"/>
      </c>
    </row>
    <row r="37" spans="1:193" s="29" customFormat="1" ht="15" customHeight="1">
      <c r="A37" s="144"/>
      <c r="B37" s="222">
        <f t="shared" si="132"/>
        <v>112</v>
      </c>
      <c r="C37" s="26">
        <f t="shared" si="43"/>
        <v>20231231</v>
      </c>
      <c r="D37" s="26" t="str">
        <f t="shared" si="44"/>
        <v>2023</v>
      </c>
      <c r="E37" s="26" t="str">
        <f t="shared" si="45"/>
        <v>12</v>
      </c>
      <c r="F37" s="26" t="str">
        <f t="shared" si="46"/>
        <v>31</v>
      </c>
      <c r="G37" s="26" t="str">
        <f t="shared" si="47"/>
        <v>2023/12/31</v>
      </c>
      <c r="H37" s="117">
        <f t="shared" si="0"/>
        <v>30</v>
      </c>
      <c r="I37" s="117">
        <f t="shared" si="48"/>
        <v>0</v>
      </c>
      <c r="J37" s="26">
        <f t="shared" si="137"/>
        <v>18</v>
      </c>
      <c r="K37" s="118">
        <f t="shared" si="1"/>
        <v>30</v>
      </c>
      <c r="L37" s="118">
        <f t="shared" si="2"/>
        <v>0</v>
      </c>
      <c r="M37" s="118">
        <f t="shared" si="3"/>
        <v>18</v>
      </c>
      <c r="N37" s="576" t="str">
        <f t="shared" si="133"/>
        <v>112.1.1~112.12.31</v>
      </c>
      <c r="O37" s="577"/>
      <c r="P37" s="577"/>
      <c r="Q37" s="578"/>
      <c r="R37" s="221">
        <f t="shared" si="134"/>
        <v>87</v>
      </c>
      <c r="S37" s="361">
        <f t="shared" si="49"/>
        <v>50</v>
      </c>
      <c r="T37" s="362">
        <f t="shared" si="50"/>
        <v>30</v>
      </c>
      <c r="U37" s="365">
        <f t="shared" si="51"/>
        <v>80</v>
      </c>
      <c r="V37" s="341">
        <v>62</v>
      </c>
      <c r="W37" s="429">
        <f t="shared" si="52"/>
      </c>
      <c r="X37" s="430"/>
      <c r="Y37" s="431"/>
      <c r="Z37" s="230">
        <f t="shared" si="53"/>
      </c>
      <c r="AA37" s="220" t="str">
        <f t="shared" si="54"/>
        <v>○</v>
      </c>
      <c r="AB37" s="393" t="str">
        <f t="shared" si="55"/>
        <v>○</v>
      </c>
      <c r="AC37" s="393" t="str">
        <f t="shared" si="56"/>
        <v>●</v>
      </c>
      <c r="AD37" s="220">
        <f t="shared" si="57"/>
      </c>
      <c r="AE37" s="220">
        <f t="shared" si="58"/>
      </c>
      <c r="AF37" s="231">
        <f t="shared" si="59"/>
      </c>
      <c r="AG37" s="310">
        <f t="shared" si="60"/>
      </c>
      <c r="AH37" s="228">
        <f t="shared" si="61"/>
      </c>
      <c r="AI37" s="321">
        <f t="shared" si="62"/>
      </c>
      <c r="AJ37" s="321">
        <f t="shared" si="63"/>
      </c>
      <c r="AK37" s="321">
        <f t="shared" si="64"/>
      </c>
      <c r="AL37" s="321">
        <f t="shared" si="65"/>
      </c>
      <c r="AM37" s="282">
        <f t="shared" si="66"/>
      </c>
      <c r="AN37" s="103"/>
      <c r="AO37" s="119">
        <f t="shared" si="4"/>
        <v>0</v>
      </c>
      <c r="AP37" s="119">
        <f t="shared" si="67"/>
        <v>0</v>
      </c>
      <c r="AQ37" s="119">
        <f t="shared" si="68"/>
        <v>0</v>
      </c>
      <c r="AR37" s="119">
        <f>IF(OR(AO37+AP37+AQ37+GG37&gt;0,SUM($AO$30:AQ36)+GG36&gt;0),1,0)</f>
        <v>0</v>
      </c>
      <c r="AS37" s="119">
        <f t="shared" si="5"/>
      </c>
      <c r="AT37" s="119">
        <f t="shared" si="69"/>
      </c>
      <c r="AU37" s="119">
        <f t="shared" si="70"/>
      </c>
      <c r="AV37" s="380">
        <f t="shared" si="71"/>
      </c>
      <c r="AW37" s="120">
        <f t="shared" si="6"/>
        <v>0</v>
      </c>
      <c r="AX37" s="120">
        <f t="shared" si="7"/>
        <v>0</v>
      </c>
      <c r="AY37" s="120">
        <f t="shared" si="72"/>
      </c>
      <c r="AZ37" s="120">
        <f t="shared" si="8"/>
        <v>50</v>
      </c>
      <c r="BA37" s="120">
        <f t="shared" si="9"/>
        <v>20231231</v>
      </c>
      <c r="BB37" s="120" t="str">
        <f t="shared" si="10"/>
        <v>112.1.1~112.12.31</v>
      </c>
      <c r="BC37" s="121">
        <f t="shared" si="73"/>
      </c>
      <c r="BD37" s="122">
        <f t="shared" si="74"/>
      </c>
      <c r="BE37" s="122"/>
      <c r="BF37" s="120"/>
      <c r="BG37" s="123">
        <f t="shared" si="75"/>
      </c>
      <c r="BH37" s="31">
        <f t="shared" si="76"/>
        <v>0</v>
      </c>
      <c r="BI37" s="7">
        <f t="shared" si="77"/>
        <v>0</v>
      </c>
      <c r="BJ37" s="7">
        <f t="shared" si="78"/>
        <v>0</v>
      </c>
      <c r="BK37" s="124">
        <f t="shared" si="11"/>
        <v>0</v>
      </c>
      <c r="BL37" s="124">
        <f t="shared" si="79"/>
      </c>
      <c r="BM37" s="124">
        <f t="shared" si="80"/>
        <v>0</v>
      </c>
      <c r="BN37" s="124">
        <f t="shared" si="81"/>
      </c>
      <c r="BO37" s="124">
        <f t="shared" si="82"/>
        <v>0</v>
      </c>
      <c r="BP37" s="124">
        <f t="shared" si="12"/>
      </c>
      <c r="BQ37" s="33"/>
      <c r="BR37" s="169">
        <v>7</v>
      </c>
      <c r="BS37" s="170"/>
      <c r="BT37" s="171"/>
      <c r="BU37" s="172"/>
      <c r="BV37" s="173"/>
      <c r="BW37" s="174"/>
      <c r="BX37" s="175"/>
      <c r="BY37" s="353">
        <f t="shared" si="13"/>
      </c>
      <c r="BZ37" s="354">
        <f t="shared" si="14"/>
      </c>
      <c r="CA37" s="355">
        <f t="shared" si="15"/>
      </c>
      <c r="CB37" s="125">
        <f t="shared" si="16"/>
        <v>3987</v>
      </c>
      <c r="CC37" s="126">
        <f t="shared" si="17"/>
        <v>3987</v>
      </c>
      <c r="CD37" s="126"/>
      <c r="CE37" s="127"/>
      <c r="CF37" s="127"/>
      <c r="CG37" s="127"/>
      <c r="CH37" s="128"/>
      <c r="CI37" s="128"/>
      <c r="CJ37" s="128"/>
      <c r="CK37" s="183">
        <f t="shared" si="18"/>
        <v>13</v>
      </c>
      <c r="CL37" s="7">
        <f t="shared" si="19"/>
        <v>12</v>
      </c>
      <c r="CM37" s="20">
        <f t="shared" si="20"/>
        <v>112</v>
      </c>
      <c r="CN37" s="382">
        <f t="shared" si="83"/>
        <v>45277</v>
      </c>
      <c r="CO37" s="185">
        <f t="shared" si="84"/>
        <v>12</v>
      </c>
      <c r="CP37" s="2">
        <f t="shared" si="21"/>
        <v>17</v>
      </c>
      <c r="CQ37" s="382">
        <f t="shared" si="85"/>
        <v>45273</v>
      </c>
      <c r="CR37" s="185">
        <f t="shared" si="135"/>
        <v>12</v>
      </c>
      <c r="CS37" s="2">
        <f t="shared" si="136"/>
        <v>13</v>
      </c>
      <c r="CT37" s="2" t="str">
        <f t="shared" si="86"/>
        <v>初任</v>
      </c>
      <c r="CU37" s="382">
        <f t="shared" si="87"/>
        <v>45273</v>
      </c>
      <c r="CV37" s="2">
        <f t="shared" si="88"/>
        <v>12</v>
      </c>
      <c r="CW37" s="2" t="str">
        <f t="shared" si="89"/>
        <v>生日</v>
      </c>
      <c r="CX37" s="382">
        <f t="shared" si="90"/>
        <v>45277</v>
      </c>
      <c r="CY37" s="2">
        <f t="shared" si="91"/>
        <v>12</v>
      </c>
      <c r="CZ37" s="2">
        <f t="shared" si="22"/>
        <v>0</v>
      </c>
      <c r="DA37" s="2">
        <f t="shared" si="92"/>
      </c>
      <c r="DB37" s="2">
        <f t="shared" si="23"/>
      </c>
      <c r="DC37" s="2">
        <f t="shared" si="93"/>
      </c>
      <c r="DD37" s="2">
        <f t="shared" si="94"/>
      </c>
      <c r="DE37" s="2">
        <f t="shared" si="95"/>
      </c>
      <c r="DF37" s="2">
        <f t="shared" si="24"/>
      </c>
      <c r="DG37" s="129">
        <f t="shared" si="25"/>
      </c>
      <c r="DH37" s="2">
        <f t="shared" si="26"/>
      </c>
      <c r="DI37" s="2">
        <f t="shared" si="96"/>
      </c>
      <c r="DJ37" s="129">
        <f t="shared" si="97"/>
      </c>
      <c r="DK37" s="2">
        <f t="shared" si="27"/>
      </c>
      <c r="DL37" s="2">
        <f t="shared" si="98"/>
      </c>
      <c r="DM37" s="129">
        <f t="shared" si="99"/>
      </c>
      <c r="DN37" s="2">
        <f t="shared" si="28"/>
      </c>
      <c r="DO37" s="2">
        <f t="shared" si="29"/>
      </c>
      <c r="DP37" s="129">
        <f t="shared" si="100"/>
      </c>
      <c r="DQ37" s="2">
        <f t="shared" si="30"/>
      </c>
      <c r="DR37" s="2">
        <f t="shared" si="31"/>
      </c>
      <c r="DS37" s="129">
        <f t="shared" si="101"/>
      </c>
      <c r="DT37" s="2">
        <f t="shared" si="32"/>
      </c>
      <c r="DU37" s="2">
        <f t="shared" si="33"/>
      </c>
      <c r="DV37" s="129">
        <f t="shared" si="102"/>
      </c>
      <c r="DW37" s="2">
        <f t="shared" si="103"/>
      </c>
      <c r="DX37" s="2">
        <f t="shared" si="104"/>
      </c>
      <c r="DY37" s="129">
        <f t="shared" si="105"/>
      </c>
      <c r="DZ37" s="129"/>
      <c r="EA37" s="21">
        <f t="shared" si="106"/>
      </c>
      <c r="EB37" s="382">
        <f t="shared" si="107"/>
        <v>401769</v>
      </c>
      <c r="EC37" s="382">
        <f t="shared" si="108"/>
        <v>401769</v>
      </c>
      <c r="ED37" s="2">
        <f t="shared" si="109"/>
      </c>
      <c r="EE37" s="382">
        <f t="shared" si="110"/>
        <v>401769</v>
      </c>
      <c r="EF37" s="382">
        <f t="shared" si="111"/>
        <v>401769</v>
      </c>
      <c r="EG37" s="382">
        <f t="shared" si="112"/>
        <v>401769</v>
      </c>
      <c r="EH37" s="382"/>
      <c r="EI37" s="382">
        <f t="shared" si="113"/>
        <v>401769</v>
      </c>
      <c r="EJ37" s="208">
        <f t="shared" si="34"/>
        <v>401769</v>
      </c>
      <c r="EK37" s="2">
        <f t="shared" si="114"/>
      </c>
      <c r="EL37" s="2">
        <f t="shared" si="35"/>
      </c>
      <c r="EM37" s="34"/>
      <c r="EN37" s="7">
        <f t="shared" si="36"/>
        <v>0</v>
      </c>
      <c r="EO37" s="124">
        <f t="shared" si="37"/>
        <v>0</v>
      </c>
      <c r="EP37" s="214">
        <f t="shared" si="38"/>
      </c>
      <c r="EQ37" s="213" t="str">
        <f t="shared" si="39"/>
        <v>●</v>
      </c>
      <c r="ER37" s="213">
        <f t="shared" si="40"/>
      </c>
      <c r="ES37" s="34">
        <v>2</v>
      </c>
      <c r="ET37" s="187">
        <v>14</v>
      </c>
      <c r="EU37" s="34">
        <v>2</v>
      </c>
      <c r="EV37" s="34"/>
      <c r="EW37" s="34"/>
      <c r="EX37" s="34"/>
      <c r="EY37" s="34"/>
      <c r="EZ37" s="34"/>
      <c r="FA37" s="34"/>
      <c r="FB37" s="34"/>
      <c r="FC37" s="2">
        <f t="shared" si="41"/>
        <v>55</v>
      </c>
      <c r="FD37" s="20"/>
      <c r="FE37" s="20">
        <f t="shared" si="115"/>
        <v>112</v>
      </c>
      <c r="FF37" s="2">
        <f t="shared" si="116"/>
        <v>0</v>
      </c>
      <c r="FG37" s="2">
        <f t="shared" si="117"/>
        <v>0</v>
      </c>
      <c r="FH37" s="2">
        <f t="shared" si="118"/>
        <v>0</v>
      </c>
      <c r="FI37" s="2">
        <f t="shared" si="119"/>
        <v>0</v>
      </c>
      <c r="FJ37" s="20"/>
      <c r="FK37" s="326">
        <f t="shared" si="120"/>
        <v>0</v>
      </c>
      <c r="FL37" s="326">
        <f t="shared" si="121"/>
        <v>0</v>
      </c>
      <c r="FM37" s="326">
        <f t="shared" si="122"/>
        <v>0</v>
      </c>
      <c r="FN37" s="326">
        <f t="shared" si="123"/>
        <v>0</v>
      </c>
      <c r="FP37" s="326">
        <f t="shared" si="124"/>
      </c>
      <c r="FQ37" s="326">
        <f t="shared" si="125"/>
      </c>
      <c r="FR37" s="326">
        <f t="shared" si="126"/>
      </c>
      <c r="FS37" s="326">
        <f t="shared" si="127"/>
      </c>
      <c r="GF37" s="2">
        <v>62</v>
      </c>
      <c r="GG37" s="2">
        <f t="shared" si="128"/>
        <v>0</v>
      </c>
      <c r="GH37" s="2">
        <f t="shared" si="129"/>
      </c>
      <c r="GI37" s="20">
        <f t="shared" si="130"/>
      </c>
      <c r="GJ37" s="20">
        <f t="shared" si="42"/>
      </c>
      <c r="GK37" s="20">
        <f t="shared" si="131"/>
      </c>
    </row>
    <row r="38" spans="1:193" s="29" customFormat="1" ht="15" customHeight="1">
      <c r="A38" s="144"/>
      <c r="B38" s="222">
        <f t="shared" si="132"/>
        <v>113</v>
      </c>
      <c r="C38" s="26">
        <f t="shared" si="43"/>
        <v>20241231</v>
      </c>
      <c r="D38" s="26" t="str">
        <f t="shared" si="44"/>
        <v>2024</v>
      </c>
      <c r="E38" s="26" t="str">
        <f t="shared" si="45"/>
        <v>12</v>
      </c>
      <c r="F38" s="26" t="str">
        <f t="shared" si="46"/>
        <v>31</v>
      </c>
      <c r="G38" s="26" t="str">
        <f t="shared" si="47"/>
        <v>2024/12/31</v>
      </c>
      <c r="H38" s="117">
        <f t="shared" si="0"/>
        <v>31</v>
      </c>
      <c r="I38" s="117">
        <f t="shared" si="48"/>
        <v>0</v>
      </c>
      <c r="J38" s="26">
        <f t="shared" si="137"/>
        <v>18</v>
      </c>
      <c r="K38" s="118">
        <f t="shared" si="1"/>
        <v>31</v>
      </c>
      <c r="L38" s="118">
        <f t="shared" si="2"/>
        <v>0</v>
      </c>
      <c r="M38" s="118">
        <f t="shared" si="3"/>
        <v>18</v>
      </c>
      <c r="N38" s="576" t="str">
        <f t="shared" si="133"/>
        <v>113.1.1~113.12.31</v>
      </c>
      <c r="O38" s="577"/>
      <c r="P38" s="577"/>
      <c r="Q38" s="578"/>
      <c r="R38" s="221">
        <f t="shared" si="134"/>
        <v>88</v>
      </c>
      <c r="S38" s="361">
        <f t="shared" si="49"/>
        <v>51</v>
      </c>
      <c r="T38" s="362">
        <f t="shared" si="50"/>
        <v>31</v>
      </c>
      <c r="U38" s="365">
        <f t="shared" si="51"/>
        <v>82</v>
      </c>
      <c r="V38" s="341">
        <v>63</v>
      </c>
      <c r="W38" s="429">
        <f t="shared" si="52"/>
      </c>
      <c r="X38" s="430"/>
      <c r="Y38" s="431"/>
      <c r="Z38" s="230">
        <f t="shared" si="53"/>
      </c>
      <c r="AA38" s="220" t="str">
        <f t="shared" si="54"/>
        <v>○</v>
      </c>
      <c r="AB38" s="393" t="str">
        <f t="shared" si="55"/>
        <v>○</v>
      </c>
      <c r="AC38" s="393" t="str">
        <f t="shared" si="56"/>
        <v>○</v>
      </c>
      <c r="AD38" s="220" t="str">
        <f t="shared" si="57"/>
        <v>●</v>
      </c>
      <c r="AE38" s="220">
        <f t="shared" si="58"/>
      </c>
      <c r="AF38" s="231">
        <f t="shared" si="59"/>
      </c>
      <c r="AG38" s="310">
        <f t="shared" si="60"/>
      </c>
      <c r="AH38" s="228">
        <f t="shared" si="61"/>
      </c>
      <c r="AI38" s="321">
        <f t="shared" si="62"/>
      </c>
      <c r="AJ38" s="321">
        <f t="shared" si="63"/>
      </c>
      <c r="AK38" s="321">
        <f t="shared" si="64"/>
      </c>
      <c r="AL38" s="321">
        <f t="shared" si="65"/>
      </c>
      <c r="AM38" s="282">
        <f t="shared" si="66"/>
      </c>
      <c r="AN38" s="103"/>
      <c r="AO38" s="119">
        <f t="shared" si="4"/>
        <v>0</v>
      </c>
      <c r="AP38" s="119">
        <f t="shared" si="67"/>
        <v>0</v>
      </c>
      <c r="AQ38" s="119">
        <f t="shared" si="68"/>
        <v>0</v>
      </c>
      <c r="AR38" s="119">
        <f>IF(OR(AO38+AP38+AQ38+GG38&gt;0,SUM($AO$30:AQ37)+GG37&gt;0),1,0)</f>
        <v>0</v>
      </c>
      <c r="AS38" s="119">
        <f t="shared" si="5"/>
      </c>
      <c r="AT38" s="119">
        <f t="shared" si="69"/>
      </c>
      <c r="AU38" s="119">
        <f t="shared" si="70"/>
      </c>
      <c r="AV38" s="380">
        <f t="shared" si="71"/>
      </c>
      <c r="AW38" s="120">
        <f t="shared" si="6"/>
        <v>0</v>
      </c>
      <c r="AX38" s="120">
        <f t="shared" si="7"/>
        <v>0</v>
      </c>
      <c r="AY38" s="120">
        <f t="shared" si="72"/>
      </c>
      <c r="AZ38" s="120">
        <f t="shared" si="8"/>
        <v>51</v>
      </c>
      <c r="BA38" s="120">
        <f t="shared" si="9"/>
        <v>20241231</v>
      </c>
      <c r="BB38" s="120" t="str">
        <f t="shared" si="10"/>
        <v>113.1.1~113.12.31</v>
      </c>
      <c r="BC38" s="121">
        <f t="shared" si="73"/>
      </c>
      <c r="BD38" s="122">
        <f t="shared" si="74"/>
      </c>
      <c r="BE38" s="122"/>
      <c r="BF38" s="120"/>
      <c r="BG38" s="123">
        <f t="shared" si="75"/>
      </c>
      <c r="BH38" s="31">
        <f t="shared" si="76"/>
        <v>0</v>
      </c>
      <c r="BI38" s="7">
        <f t="shared" si="77"/>
        <v>0</v>
      </c>
      <c r="BJ38" s="7">
        <f t="shared" si="78"/>
        <v>0</v>
      </c>
      <c r="BK38" s="124">
        <f t="shared" si="11"/>
        <v>0</v>
      </c>
      <c r="BL38" s="124">
        <f t="shared" si="79"/>
      </c>
      <c r="BM38" s="124">
        <f t="shared" si="80"/>
        <v>0</v>
      </c>
      <c r="BN38" s="124">
        <f t="shared" si="81"/>
      </c>
      <c r="BO38" s="124">
        <f t="shared" si="82"/>
        <v>0</v>
      </c>
      <c r="BP38" s="124">
        <f t="shared" si="12"/>
      </c>
      <c r="BQ38" s="33"/>
      <c r="BR38" s="169">
        <v>8</v>
      </c>
      <c r="BS38" s="170"/>
      <c r="BT38" s="171"/>
      <c r="BU38" s="172"/>
      <c r="BV38" s="173"/>
      <c r="BW38" s="174"/>
      <c r="BX38" s="175"/>
      <c r="BY38" s="353">
        <f t="shared" si="13"/>
      </c>
      <c r="BZ38" s="354">
        <f t="shared" si="14"/>
      </c>
      <c r="CA38" s="355">
        <f t="shared" si="15"/>
      </c>
      <c r="CB38" s="125">
        <f t="shared" si="16"/>
        <v>3987</v>
      </c>
      <c r="CC38" s="126">
        <f t="shared" si="17"/>
        <v>3987</v>
      </c>
      <c r="CD38" s="126"/>
      <c r="CE38" s="127"/>
      <c r="CF38" s="127"/>
      <c r="CG38" s="127"/>
      <c r="CH38" s="128"/>
      <c r="CI38" s="128"/>
      <c r="CJ38" s="128"/>
      <c r="CK38" s="183">
        <f t="shared" si="18"/>
        <v>13</v>
      </c>
      <c r="CL38" s="7">
        <f t="shared" si="19"/>
        <v>12</v>
      </c>
      <c r="CM38" s="20">
        <f t="shared" si="20"/>
        <v>113</v>
      </c>
      <c r="CN38" s="382">
        <f t="shared" si="83"/>
        <v>45643</v>
      </c>
      <c r="CO38" s="185">
        <f t="shared" si="84"/>
        <v>12</v>
      </c>
      <c r="CP38" s="2">
        <f t="shared" si="21"/>
        <v>17</v>
      </c>
      <c r="CQ38" s="382">
        <f t="shared" si="85"/>
        <v>45639</v>
      </c>
      <c r="CR38" s="185">
        <f t="shared" si="135"/>
        <v>12</v>
      </c>
      <c r="CS38" s="2">
        <f t="shared" si="136"/>
        <v>13</v>
      </c>
      <c r="CT38" s="2" t="str">
        <f t="shared" si="86"/>
        <v>初任</v>
      </c>
      <c r="CU38" s="382">
        <f t="shared" si="87"/>
        <v>45639</v>
      </c>
      <c r="CV38" s="2">
        <f t="shared" si="88"/>
        <v>12</v>
      </c>
      <c r="CW38" s="2" t="str">
        <f t="shared" si="89"/>
        <v>生日</v>
      </c>
      <c r="CX38" s="382">
        <f t="shared" si="90"/>
        <v>45643</v>
      </c>
      <c r="CY38" s="2">
        <f t="shared" si="91"/>
        <v>12</v>
      </c>
      <c r="CZ38" s="2">
        <f t="shared" si="22"/>
        <v>0</v>
      </c>
      <c r="DA38" s="2">
        <f t="shared" si="92"/>
      </c>
      <c r="DB38" s="2">
        <f t="shared" si="23"/>
      </c>
      <c r="DC38" s="2">
        <f t="shared" si="93"/>
      </c>
      <c r="DD38" s="2">
        <f t="shared" si="94"/>
      </c>
      <c r="DE38" s="2">
        <f t="shared" si="95"/>
      </c>
      <c r="DF38" s="2">
        <f t="shared" si="24"/>
      </c>
      <c r="DG38" s="129">
        <f t="shared" si="25"/>
      </c>
      <c r="DH38" s="2">
        <f t="shared" si="26"/>
      </c>
      <c r="DI38" s="2">
        <f t="shared" si="96"/>
      </c>
      <c r="DJ38" s="129">
        <f t="shared" si="97"/>
      </c>
      <c r="DK38" s="2">
        <f t="shared" si="27"/>
      </c>
      <c r="DL38" s="2">
        <f t="shared" si="98"/>
      </c>
      <c r="DM38" s="129">
        <f t="shared" si="99"/>
      </c>
      <c r="DN38" s="2">
        <f t="shared" si="28"/>
      </c>
      <c r="DO38" s="2">
        <f t="shared" si="29"/>
      </c>
      <c r="DP38" s="129">
        <f t="shared" si="100"/>
      </c>
      <c r="DQ38" s="2">
        <f t="shared" si="30"/>
      </c>
      <c r="DR38" s="2">
        <f t="shared" si="31"/>
      </c>
      <c r="DS38" s="129">
        <f t="shared" si="101"/>
      </c>
      <c r="DT38" s="2">
        <f t="shared" si="32"/>
      </c>
      <c r="DU38" s="2">
        <f t="shared" si="33"/>
      </c>
      <c r="DV38" s="129">
        <f t="shared" si="102"/>
      </c>
      <c r="DW38" s="2">
        <f t="shared" si="103"/>
      </c>
      <c r="DX38" s="2">
        <f t="shared" si="104"/>
      </c>
      <c r="DY38" s="129">
        <f t="shared" si="105"/>
      </c>
      <c r="DZ38" s="129"/>
      <c r="EA38" s="21">
        <f t="shared" si="106"/>
      </c>
      <c r="EB38" s="382">
        <f t="shared" si="107"/>
        <v>401769</v>
      </c>
      <c r="EC38" s="382">
        <f t="shared" si="108"/>
        <v>401769</v>
      </c>
      <c r="ED38" s="2">
        <f t="shared" si="109"/>
      </c>
      <c r="EE38" s="382">
        <f t="shared" si="110"/>
        <v>401769</v>
      </c>
      <c r="EF38" s="382">
        <f t="shared" si="111"/>
        <v>401769</v>
      </c>
      <c r="EG38" s="382">
        <f t="shared" si="112"/>
        <v>401769</v>
      </c>
      <c r="EH38" s="382"/>
      <c r="EI38" s="382">
        <f t="shared" si="113"/>
        <v>401769</v>
      </c>
      <c r="EJ38" s="208">
        <f t="shared" si="34"/>
        <v>401769</v>
      </c>
      <c r="EK38" s="2">
        <f t="shared" si="114"/>
      </c>
      <c r="EL38" s="2">
        <f t="shared" si="35"/>
      </c>
      <c r="EM38" s="34"/>
      <c r="EN38" s="7">
        <f t="shared" si="36"/>
        <v>0</v>
      </c>
      <c r="EO38" s="124">
        <f t="shared" si="37"/>
        <v>0</v>
      </c>
      <c r="EP38" s="214">
        <f t="shared" si="38"/>
      </c>
      <c r="EQ38" s="213" t="str">
        <f t="shared" si="39"/>
        <v>●</v>
      </c>
      <c r="ER38" s="213">
        <f t="shared" si="40"/>
      </c>
      <c r="ES38" s="34">
        <v>3</v>
      </c>
      <c r="ET38" s="187">
        <v>15</v>
      </c>
      <c r="EU38" s="34">
        <v>3</v>
      </c>
      <c r="EV38" s="34"/>
      <c r="EW38" s="34"/>
      <c r="EX38" s="34"/>
      <c r="EY38" s="34"/>
      <c r="EZ38" s="34"/>
      <c r="FA38" s="34"/>
      <c r="FB38" s="34"/>
      <c r="FC38" s="2">
        <f t="shared" si="41"/>
        <v>55</v>
      </c>
      <c r="FD38" s="20"/>
      <c r="FE38" s="20">
        <f t="shared" si="115"/>
        <v>113</v>
      </c>
      <c r="FF38" s="2">
        <f t="shared" si="116"/>
        <v>0</v>
      </c>
      <c r="FG38" s="2">
        <f t="shared" si="117"/>
        <v>0</v>
      </c>
      <c r="FH38" s="2">
        <f t="shared" si="118"/>
        <v>0</v>
      </c>
      <c r="FI38" s="2">
        <f t="shared" si="119"/>
        <v>0</v>
      </c>
      <c r="FJ38" s="20"/>
      <c r="FK38" s="326">
        <f t="shared" si="120"/>
        <v>0</v>
      </c>
      <c r="FL38" s="326">
        <f t="shared" si="121"/>
        <v>0</v>
      </c>
      <c r="FM38" s="326">
        <f t="shared" si="122"/>
        <v>0</v>
      </c>
      <c r="FN38" s="326">
        <f t="shared" si="123"/>
        <v>0</v>
      </c>
      <c r="FP38" s="326">
        <f t="shared" si="124"/>
      </c>
      <c r="FQ38" s="326">
        <f t="shared" si="125"/>
      </c>
      <c r="FR38" s="326">
        <f t="shared" si="126"/>
      </c>
      <c r="FS38" s="326">
        <f t="shared" si="127"/>
      </c>
      <c r="GF38" s="2">
        <v>63</v>
      </c>
      <c r="GG38" s="2">
        <f t="shared" si="128"/>
        <v>0</v>
      </c>
      <c r="GH38" s="2">
        <f t="shared" si="129"/>
      </c>
      <c r="GI38" s="20">
        <f t="shared" si="130"/>
      </c>
      <c r="GJ38" s="20">
        <f t="shared" si="42"/>
      </c>
      <c r="GK38" s="20">
        <f t="shared" si="131"/>
      </c>
    </row>
    <row r="39" spans="1:193" s="29" customFormat="1" ht="15" customHeight="1" thickBot="1">
      <c r="A39" s="144"/>
      <c r="B39" s="222">
        <f t="shared" si="132"/>
        <v>114</v>
      </c>
      <c r="C39" s="26">
        <f t="shared" si="43"/>
        <v>20251231</v>
      </c>
      <c r="D39" s="26" t="str">
        <f t="shared" si="44"/>
        <v>2025</v>
      </c>
      <c r="E39" s="26" t="str">
        <f t="shared" si="45"/>
        <v>12</v>
      </c>
      <c r="F39" s="26" t="str">
        <f t="shared" si="46"/>
        <v>31</v>
      </c>
      <c r="G39" s="26" t="str">
        <f t="shared" si="47"/>
        <v>2025/12/31</v>
      </c>
      <c r="H39" s="117">
        <f t="shared" si="0"/>
        <v>32</v>
      </c>
      <c r="I39" s="117">
        <f t="shared" si="48"/>
        <v>0</v>
      </c>
      <c r="J39" s="26">
        <f t="shared" si="137"/>
        <v>18</v>
      </c>
      <c r="K39" s="118">
        <f t="shared" si="1"/>
        <v>32</v>
      </c>
      <c r="L39" s="118">
        <f t="shared" si="2"/>
        <v>0</v>
      </c>
      <c r="M39" s="118">
        <f t="shared" si="3"/>
        <v>18</v>
      </c>
      <c r="N39" s="558" t="str">
        <f t="shared" si="133"/>
        <v>114.1.1~114.12.31</v>
      </c>
      <c r="O39" s="559"/>
      <c r="P39" s="559"/>
      <c r="Q39" s="560"/>
      <c r="R39" s="295">
        <f t="shared" si="134"/>
        <v>89</v>
      </c>
      <c r="S39" s="370">
        <f t="shared" si="49"/>
        <v>52</v>
      </c>
      <c r="T39" s="371">
        <f t="shared" si="50"/>
        <v>32</v>
      </c>
      <c r="U39" s="366">
        <f t="shared" si="51"/>
        <v>84</v>
      </c>
      <c r="V39" s="342">
        <v>64</v>
      </c>
      <c r="W39" s="552">
        <f t="shared" si="52"/>
      </c>
      <c r="X39" s="553"/>
      <c r="Y39" s="554"/>
      <c r="Z39" s="276">
        <f t="shared" si="53"/>
      </c>
      <c r="AA39" s="394" t="str">
        <f t="shared" si="54"/>
        <v>○</v>
      </c>
      <c r="AB39" s="395" t="str">
        <f t="shared" si="55"/>
        <v>○</v>
      </c>
      <c r="AC39" s="395" t="str">
        <f t="shared" si="56"/>
        <v>○</v>
      </c>
      <c r="AD39" s="394" t="str">
        <f t="shared" si="57"/>
        <v>○</v>
      </c>
      <c r="AE39" s="394" t="str">
        <f t="shared" si="58"/>
        <v>●</v>
      </c>
      <c r="AF39" s="277">
        <f t="shared" si="59"/>
      </c>
      <c r="AG39" s="316">
        <f t="shared" si="60"/>
      </c>
      <c r="AH39" s="278">
        <f t="shared" si="61"/>
      </c>
      <c r="AI39" s="324">
        <f t="shared" si="62"/>
      </c>
      <c r="AJ39" s="324">
        <f t="shared" si="63"/>
      </c>
      <c r="AK39" s="324">
        <f t="shared" si="64"/>
      </c>
      <c r="AL39" s="324">
        <f t="shared" si="65"/>
      </c>
      <c r="AM39" s="283">
        <f t="shared" si="66"/>
      </c>
      <c r="AN39" s="103"/>
      <c r="AO39" s="119">
        <f t="shared" si="4"/>
        <v>0</v>
      </c>
      <c r="AP39" s="119">
        <f t="shared" si="67"/>
        <v>0</v>
      </c>
      <c r="AQ39" s="119">
        <f t="shared" si="68"/>
        <v>0</v>
      </c>
      <c r="AR39" s="119">
        <f>IF(OR(AO39+AP39+AQ39+GG39&gt;0,SUM($AO$30:AQ38)+GG38&gt;0),1,0)</f>
        <v>0</v>
      </c>
      <c r="AS39" s="119">
        <f t="shared" si="5"/>
      </c>
      <c r="AT39" s="119">
        <f t="shared" si="69"/>
      </c>
      <c r="AU39" s="119">
        <f t="shared" si="70"/>
      </c>
      <c r="AV39" s="380">
        <f t="shared" si="71"/>
      </c>
      <c r="AW39" s="120">
        <f t="shared" si="6"/>
        <v>0</v>
      </c>
      <c r="AX39" s="120">
        <f t="shared" si="7"/>
        <v>0</v>
      </c>
      <c r="AY39" s="120">
        <f t="shared" si="72"/>
      </c>
      <c r="AZ39" s="120">
        <f t="shared" si="8"/>
        <v>52</v>
      </c>
      <c r="BA39" s="120">
        <f t="shared" si="9"/>
        <v>20251231</v>
      </c>
      <c r="BB39" s="120" t="str">
        <f t="shared" si="10"/>
        <v>114.1.1~114.12.31</v>
      </c>
      <c r="BC39" s="121">
        <f t="shared" si="73"/>
      </c>
      <c r="BD39" s="122">
        <f t="shared" si="74"/>
      </c>
      <c r="BE39" s="122"/>
      <c r="BF39" s="120"/>
      <c r="BG39" s="123">
        <f t="shared" si="75"/>
      </c>
      <c r="BH39" s="31">
        <f t="shared" si="76"/>
        <v>0</v>
      </c>
      <c r="BI39" s="7">
        <f t="shared" si="77"/>
        <v>0</v>
      </c>
      <c r="BJ39" s="7">
        <f t="shared" si="78"/>
        <v>0</v>
      </c>
      <c r="BK39" s="124">
        <f t="shared" si="11"/>
        <v>0</v>
      </c>
      <c r="BL39" s="124">
        <f t="shared" si="79"/>
      </c>
      <c r="BM39" s="124">
        <f t="shared" si="80"/>
        <v>0</v>
      </c>
      <c r="BN39" s="124">
        <f t="shared" si="81"/>
      </c>
      <c r="BO39" s="124">
        <f t="shared" si="82"/>
        <v>0</v>
      </c>
      <c r="BP39" s="124">
        <f t="shared" si="12"/>
      </c>
      <c r="BQ39" s="33"/>
      <c r="BR39" s="169">
        <v>9</v>
      </c>
      <c r="BS39" s="170"/>
      <c r="BT39" s="171"/>
      <c r="BU39" s="172"/>
      <c r="BV39" s="173"/>
      <c r="BW39" s="174"/>
      <c r="BX39" s="175"/>
      <c r="BY39" s="353">
        <f t="shared" si="13"/>
      </c>
      <c r="BZ39" s="354">
        <f t="shared" si="14"/>
      </c>
      <c r="CA39" s="355">
        <f t="shared" si="15"/>
      </c>
      <c r="CB39" s="125">
        <f t="shared" si="16"/>
        <v>3987</v>
      </c>
      <c r="CC39" s="126">
        <f t="shared" si="17"/>
        <v>3987</v>
      </c>
      <c r="CD39" s="126"/>
      <c r="CE39" s="127"/>
      <c r="CF39" s="127"/>
      <c r="CG39" s="127"/>
      <c r="CH39" s="128"/>
      <c r="CI39" s="128"/>
      <c r="CJ39" s="128"/>
      <c r="CK39" s="183">
        <f t="shared" si="18"/>
        <v>13</v>
      </c>
      <c r="CL39" s="7">
        <f t="shared" si="19"/>
        <v>12</v>
      </c>
      <c r="CM39" s="20">
        <f t="shared" si="20"/>
        <v>114</v>
      </c>
      <c r="CN39" s="382">
        <f t="shared" si="83"/>
        <v>46008</v>
      </c>
      <c r="CO39" s="185">
        <f t="shared" si="84"/>
        <v>12</v>
      </c>
      <c r="CP39" s="2">
        <f t="shared" si="21"/>
        <v>17</v>
      </c>
      <c r="CQ39" s="382">
        <f t="shared" si="85"/>
        <v>46004</v>
      </c>
      <c r="CR39" s="185">
        <f t="shared" si="135"/>
        <v>12</v>
      </c>
      <c r="CS39" s="2">
        <f t="shared" si="136"/>
        <v>13</v>
      </c>
      <c r="CT39" s="2" t="str">
        <f t="shared" si="86"/>
        <v>初任</v>
      </c>
      <c r="CU39" s="382">
        <f t="shared" si="87"/>
        <v>46004</v>
      </c>
      <c r="CV39" s="2">
        <f t="shared" si="88"/>
        <v>12</v>
      </c>
      <c r="CW39" s="2" t="str">
        <f t="shared" si="89"/>
        <v>生日</v>
      </c>
      <c r="CX39" s="382">
        <f t="shared" si="90"/>
        <v>46008</v>
      </c>
      <c r="CY39" s="2">
        <f t="shared" si="91"/>
        <v>12</v>
      </c>
      <c r="CZ39" s="2">
        <f t="shared" si="22"/>
        <v>0</v>
      </c>
      <c r="DA39" s="2">
        <f t="shared" si="92"/>
      </c>
      <c r="DB39" s="2">
        <f t="shared" si="23"/>
      </c>
      <c r="DC39" s="2">
        <f t="shared" si="93"/>
      </c>
      <c r="DD39" s="2">
        <f t="shared" si="94"/>
      </c>
      <c r="DE39" s="2">
        <f t="shared" si="95"/>
      </c>
      <c r="DF39" s="2">
        <f t="shared" si="24"/>
      </c>
      <c r="DG39" s="129">
        <f t="shared" si="25"/>
      </c>
      <c r="DH39" s="2">
        <f t="shared" si="26"/>
      </c>
      <c r="DI39" s="2">
        <f t="shared" si="96"/>
      </c>
      <c r="DJ39" s="129">
        <f t="shared" si="97"/>
      </c>
      <c r="DK39" s="2">
        <f t="shared" si="27"/>
      </c>
      <c r="DL39" s="2">
        <f t="shared" si="98"/>
      </c>
      <c r="DM39" s="129">
        <f t="shared" si="99"/>
      </c>
      <c r="DN39" s="2">
        <f t="shared" si="28"/>
      </c>
      <c r="DO39" s="2">
        <f t="shared" si="29"/>
      </c>
      <c r="DP39" s="129">
        <f t="shared" si="100"/>
      </c>
      <c r="DQ39" s="2">
        <f t="shared" si="30"/>
      </c>
      <c r="DR39" s="2">
        <f t="shared" si="31"/>
      </c>
      <c r="DS39" s="129">
        <f t="shared" si="101"/>
      </c>
      <c r="DT39" s="2">
        <f t="shared" si="32"/>
      </c>
      <c r="DU39" s="2">
        <f t="shared" si="33"/>
      </c>
      <c r="DV39" s="129">
        <f t="shared" si="102"/>
      </c>
      <c r="DW39" s="2">
        <f t="shared" si="103"/>
      </c>
      <c r="DX39" s="2">
        <f t="shared" si="104"/>
      </c>
      <c r="DY39" s="129">
        <f t="shared" si="105"/>
      </c>
      <c r="DZ39" s="129"/>
      <c r="EA39" s="21">
        <f t="shared" si="106"/>
      </c>
      <c r="EB39" s="382">
        <f t="shared" si="107"/>
        <v>401769</v>
      </c>
      <c r="EC39" s="382">
        <f t="shared" si="108"/>
        <v>401769</v>
      </c>
      <c r="ED39" s="2">
        <f t="shared" si="109"/>
      </c>
      <c r="EE39" s="382">
        <f t="shared" si="110"/>
        <v>401769</v>
      </c>
      <c r="EF39" s="382">
        <f t="shared" si="111"/>
        <v>401769</v>
      </c>
      <c r="EG39" s="382">
        <f t="shared" si="112"/>
        <v>401769</v>
      </c>
      <c r="EH39" s="382"/>
      <c r="EI39" s="382">
        <f t="shared" si="113"/>
        <v>401769</v>
      </c>
      <c r="EJ39" s="208">
        <f t="shared" si="34"/>
        <v>401769</v>
      </c>
      <c r="EK39" s="2">
        <f t="shared" si="114"/>
      </c>
      <c r="EL39" s="2">
        <f t="shared" si="35"/>
      </c>
      <c r="EM39" s="34"/>
      <c r="EN39" s="7">
        <f t="shared" si="36"/>
        <v>0</v>
      </c>
      <c r="EO39" s="124">
        <f t="shared" si="37"/>
        <v>0</v>
      </c>
      <c r="EP39" s="214">
        <f t="shared" si="38"/>
      </c>
      <c r="EQ39" s="213" t="str">
        <f t="shared" si="39"/>
        <v>●</v>
      </c>
      <c r="ER39" s="213">
        <f t="shared" si="40"/>
      </c>
      <c r="ES39" s="34">
        <v>4</v>
      </c>
      <c r="ET39" s="187">
        <v>16</v>
      </c>
      <c r="EU39" s="34">
        <v>4</v>
      </c>
      <c r="EV39" s="34"/>
      <c r="EW39" s="34"/>
      <c r="EX39" s="34"/>
      <c r="EY39" s="34"/>
      <c r="EZ39" s="34"/>
      <c r="FA39" s="34"/>
      <c r="FB39" s="34"/>
      <c r="FC39" s="2">
        <f t="shared" si="41"/>
        <v>55</v>
      </c>
      <c r="FD39" s="20"/>
      <c r="FE39" s="20">
        <f t="shared" si="115"/>
        <v>114</v>
      </c>
      <c r="FF39" s="2">
        <f t="shared" si="116"/>
        <v>0</v>
      </c>
      <c r="FG39" s="2">
        <f t="shared" si="117"/>
        <v>0</v>
      </c>
      <c r="FH39" s="2">
        <f t="shared" si="118"/>
        <v>0</v>
      </c>
      <c r="FI39" s="2">
        <f t="shared" si="119"/>
        <v>0</v>
      </c>
      <c r="FJ39" s="20"/>
      <c r="FK39" s="326">
        <f t="shared" si="120"/>
        <v>0</v>
      </c>
      <c r="FL39" s="326">
        <f t="shared" si="121"/>
        <v>0</v>
      </c>
      <c r="FM39" s="326">
        <f t="shared" si="122"/>
        <v>0</v>
      </c>
      <c r="FN39" s="326">
        <f t="shared" si="123"/>
        <v>0</v>
      </c>
      <c r="FP39" s="326">
        <f t="shared" si="124"/>
      </c>
      <c r="FQ39" s="326">
        <f t="shared" si="125"/>
      </c>
      <c r="FR39" s="326">
        <f t="shared" si="126"/>
      </c>
      <c r="FS39" s="326">
        <f t="shared" si="127"/>
      </c>
      <c r="GF39" s="2">
        <v>64</v>
      </c>
      <c r="GG39" s="2">
        <f t="shared" si="128"/>
        <v>0</v>
      </c>
      <c r="GH39" s="2">
        <f t="shared" si="129"/>
      </c>
      <c r="GI39" s="20">
        <f t="shared" si="130"/>
      </c>
      <c r="GJ39" s="20">
        <f t="shared" si="42"/>
      </c>
      <c r="GK39" s="20">
        <f t="shared" si="131"/>
      </c>
    </row>
    <row r="40" spans="1:193" s="29" customFormat="1" ht="15" customHeight="1" thickTop="1">
      <c r="A40" s="144"/>
      <c r="B40" s="222">
        <f t="shared" si="132"/>
        <v>115</v>
      </c>
      <c r="C40" s="26">
        <f t="shared" si="43"/>
        <v>20261231</v>
      </c>
      <c r="D40" s="26" t="str">
        <f t="shared" si="44"/>
        <v>2026</v>
      </c>
      <c r="E40" s="26" t="str">
        <f t="shared" si="45"/>
        <v>12</v>
      </c>
      <c r="F40" s="26" t="str">
        <f t="shared" si="46"/>
        <v>31</v>
      </c>
      <c r="G40" s="26" t="str">
        <f t="shared" si="47"/>
        <v>2026/12/31</v>
      </c>
      <c r="H40" s="117">
        <f t="shared" si="0"/>
        <v>33</v>
      </c>
      <c r="I40" s="117">
        <f t="shared" si="48"/>
        <v>0</v>
      </c>
      <c r="J40" s="26">
        <f t="shared" si="137"/>
        <v>18</v>
      </c>
      <c r="K40" s="118">
        <f t="shared" si="1"/>
        <v>33</v>
      </c>
      <c r="L40" s="118">
        <f t="shared" si="2"/>
        <v>0</v>
      </c>
      <c r="M40" s="118">
        <f t="shared" si="3"/>
        <v>18</v>
      </c>
      <c r="N40" s="543" t="str">
        <f t="shared" si="133"/>
        <v>115.1.1~115.12.31</v>
      </c>
      <c r="O40" s="544"/>
      <c r="P40" s="544"/>
      <c r="Q40" s="545"/>
      <c r="R40" s="296">
        <f t="shared" si="134"/>
        <v>90</v>
      </c>
      <c r="S40" s="372">
        <f t="shared" si="49"/>
        <v>53</v>
      </c>
      <c r="T40" s="373">
        <f t="shared" si="50"/>
        <v>33</v>
      </c>
      <c r="U40" s="368">
        <f t="shared" si="51"/>
        <v>86</v>
      </c>
      <c r="V40" s="340">
        <v>65</v>
      </c>
      <c r="W40" s="555">
        <f t="shared" si="52"/>
      </c>
      <c r="X40" s="556"/>
      <c r="Y40" s="557"/>
      <c r="Z40" s="235">
        <f t="shared" si="53"/>
      </c>
      <c r="AA40" s="391" t="str">
        <f t="shared" si="54"/>
        <v>○</v>
      </c>
      <c r="AB40" s="392" t="str">
        <f t="shared" si="55"/>
        <v>○</v>
      </c>
      <c r="AC40" s="392" t="str">
        <f t="shared" si="56"/>
        <v>○</v>
      </c>
      <c r="AD40" s="391" t="str">
        <f t="shared" si="57"/>
        <v>○</v>
      </c>
      <c r="AE40" s="391" t="str">
        <f t="shared" si="58"/>
        <v>○</v>
      </c>
      <c r="AF40" s="236" t="str">
        <f t="shared" si="59"/>
        <v>●</v>
      </c>
      <c r="AG40" s="314">
        <f t="shared" si="60"/>
      </c>
      <c r="AH40" s="229">
        <f t="shared" si="61"/>
      </c>
      <c r="AI40" s="325">
        <f t="shared" si="62"/>
      </c>
      <c r="AJ40" s="325">
        <f t="shared" si="63"/>
      </c>
      <c r="AK40" s="325">
        <f t="shared" si="64"/>
      </c>
      <c r="AL40" s="325">
        <f t="shared" si="65"/>
      </c>
      <c r="AM40" s="205">
        <f t="shared" si="66"/>
      </c>
      <c r="AN40" s="103"/>
      <c r="AO40" s="119">
        <f t="shared" si="4"/>
        <v>0</v>
      </c>
      <c r="AP40" s="119">
        <f t="shared" si="67"/>
        <v>0</v>
      </c>
      <c r="AQ40" s="119">
        <f t="shared" si="68"/>
        <v>0</v>
      </c>
      <c r="AR40" s="119">
        <f>IF(OR(AO40+AP40+AQ40+GG40&gt;0,SUM($AO$30:AQ39)+GG39&gt;0),1,0)</f>
        <v>0</v>
      </c>
      <c r="AS40" s="119">
        <f t="shared" si="5"/>
      </c>
      <c r="AT40" s="119">
        <f t="shared" si="69"/>
      </c>
      <c r="AU40" s="119">
        <f t="shared" si="70"/>
      </c>
      <c r="AV40" s="380">
        <f t="shared" si="71"/>
      </c>
      <c r="AW40" s="120">
        <f t="shared" si="6"/>
        <v>0</v>
      </c>
      <c r="AX40" s="120">
        <f t="shared" si="7"/>
        <v>0</v>
      </c>
      <c r="AY40" s="120">
        <f t="shared" si="72"/>
      </c>
      <c r="AZ40" s="120">
        <f t="shared" si="8"/>
        <v>53</v>
      </c>
      <c r="BA40" s="120">
        <f t="shared" si="9"/>
        <v>20261231</v>
      </c>
      <c r="BB40" s="120" t="str">
        <f t="shared" si="10"/>
        <v>115.1.1~115.12.31</v>
      </c>
      <c r="BC40" s="121">
        <f t="shared" si="73"/>
      </c>
      <c r="BD40" s="122">
        <f t="shared" si="74"/>
      </c>
      <c r="BE40" s="122"/>
      <c r="BF40" s="120"/>
      <c r="BG40" s="123">
        <f t="shared" si="75"/>
      </c>
      <c r="BH40" s="31">
        <f t="shared" si="76"/>
        <v>0</v>
      </c>
      <c r="BI40" s="7">
        <f t="shared" si="77"/>
        <v>0</v>
      </c>
      <c r="BJ40" s="7">
        <f t="shared" si="78"/>
        <v>0</v>
      </c>
      <c r="BK40" s="124">
        <f t="shared" si="11"/>
        <v>0</v>
      </c>
      <c r="BL40" s="124">
        <f t="shared" si="79"/>
      </c>
      <c r="BM40" s="124">
        <f t="shared" si="80"/>
        <v>0</v>
      </c>
      <c r="BN40" s="124">
        <f t="shared" si="81"/>
      </c>
      <c r="BO40" s="124">
        <f t="shared" si="82"/>
        <v>0</v>
      </c>
      <c r="BP40" s="124">
        <f t="shared" si="12"/>
      </c>
      <c r="BQ40" s="33"/>
      <c r="BR40" s="169">
        <v>10</v>
      </c>
      <c r="BS40" s="170"/>
      <c r="BT40" s="171"/>
      <c r="BU40" s="172"/>
      <c r="BV40" s="173"/>
      <c r="BW40" s="174"/>
      <c r="BX40" s="175"/>
      <c r="BY40" s="353">
        <f t="shared" si="13"/>
      </c>
      <c r="BZ40" s="354">
        <f t="shared" si="14"/>
      </c>
      <c r="CA40" s="355">
        <f t="shared" si="15"/>
      </c>
      <c r="CB40" s="125">
        <f t="shared" si="16"/>
        <v>3987</v>
      </c>
      <c r="CC40" s="126">
        <f t="shared" si="17"/>
        <v>3987</v>
      </c>
      <c r="CD40" s="126"/>
      <c r="CE40" s="127"/>
      <c r="CF40" s="127"/>
      <c r="CG40" s="127"/>
      <c r="CH40" s="128"/>
      <c r="CI40" s="128"/>
      <c r="CJ40" s="128"/>
      <c r="CK40" s="183">
        <f t="shared" si="18"/>
        <v>13</v>
      </c>
      <c r="CL40" s="7">
        <f t="shared" si="19"/>
        <v>12</v>
      </c>
      <c r="CM40" s="20">
        <f t="shared" si="20"/>
        <v>115</v>
      </c>
      <c r="CN40" s="382">
        <f t="shared" si="83"/>
        <v>46373</v>
      </c>
      <c r="CO40" s="185">
        <f t="shared" si="84"/>
        <v>12</v>
      </c>
      <c r="CP40" s="2">
        <f t="shared" si="21"/>
        <v>17</v>
      </c>
      <c r="CQ40" s="382">
        <f t="shared" si="85"/>
        <v>46369</v>
      </c>
      <c r="CR40" s="185">
        <f t="shared" si="135"/>
        <v>12</v>
      </c>
      <c r="CS40" s="2">
        <f t="shared" si="136"/>
        <v>13</v>
      </c>
      <c r="CT40" s="2" t="str">
        <f t="shared" si="86"/>
        <v>初任</v>
      </c>
      <c r="CU40" s="382">
        <f t="shared" si="87"/>
        <v>46369</v>
      </c>
      <c r="CV40" s="2">
        <f t="shared" si="88"/>
        <v>12</v>
      </c>
      <c r="CW40" s="2" t="str">
        <f t="shared" si="89"/>
        <v>生日</v>
      </c>
      <c r="CX40" s="382">
        <f t="shared" si="90"/>
        <v>46373</v>
      </c>
      <c r="CY40" s="2">
        <f t="shared" si="91"/>
        <v>12</v>
      </c>
      <c r="CZ40" s="2">
        <f t="shared" si="22"/>
        <v>0</v>
      </c>
      <c r="DA40" s="2">
        <f t="shared" si="92"/>
      </c>
      <c r="DB40" s="2">
        <f t="shared" si="23"/>
      </c>
      <c r="DC40" s="2">
        <f t="shared" si="93"/>
      </c>
      <c r="DD40" s="2">
        <f t="shared" si="94"/>
      </c>
      <c r="DE40" s="2">
        <f t="shared" si="95"/>
      </c>
      <c r="DF40" s="2">
        <f t="shared" si="24"/>
      </c>
      <c r="DG40" s="129">
        <f t="shared" si="25"/>
      </c>
      <c r="DH40" s="2">
        <f t="shared" si="26"/>
      </c>
      <c r="DI40" s="2">
        <f t="shared" si="96"/>
      </c>
      <c r="DJ40" s="129">
        <f t="shared" si="97"/>
      </c>
      <c r="DK40" s="2">
        <f t="shared" si="27"/>
      </c>
      <c r="DL40" s="2">
        <f t="shared" si="98"/>
      </c>
      <c r="DM40" s="129">
        <f t="shared" si="99"/>
      </c>
      <c r="DN40" s="2">
        <f t="shared" si="28"/>
      </c>
      <c r="DO40" s="2">
        <f t="shared" si="29"/>
      </c>
      <c r="DP40" s="129">
        <f t="shared" si="100"/>
      </c>
      <c r="DQ40" s="2">
        <f t="shared" si="30"/>
      </c>
      <c r="DR40" s="2">
        <f t="shared" si="31"/>
      </c>
      <c r="DS40" s="129">
        <f t="shared" si="101"/>
      </c>
      <c r="DT40" s="2">
        <f t="shared" si="32"/>
      </c>
      <c r="DU40" s="2">
        <f t="shared" si="33"/>
      </c>
      <c r="DV40" s="129">
        <f t="shared" si="102"/>
      </c>
      <c r="DW40" s="2">
        <f t="shared" si="103"/>
      </c>
      <c r="DX40" s="2">
        <f t="shared" si="104"/>
      </c>
      <c r="DY40" s="129">
        <f t="shared" si="105"/>
      </c>
      <c r="DZ40" s="129"/>
      <c r="EA40" s="21">
        <f t="shared" si="106"/>
      </c>
      <c r="EB40" s="382">
        <f t="shared" si="107"/>
        <v>401769</v>
      </c>
      <c r="EC40" s="382">
        <f t="shared" si="108"/>
        <v>401769</v>
      </c>
      <c r="ED40" s="2">
        <f t="shared" si="109"/>
      </c>
      <c r="EE40" s="382">
        <f t="shared" si="110"/>
        <v>401769</v>
      </c>
      <c r="EF40" s="382">
        <f t="shared" si="111"/>
        <v>401769</v>
      </c>
      <c r="EG40" s="382">
        <f t="shared" si="112"/>
        <v>401769</v>
      </c>
      <c r="EH40" s="382"/>
      <c r="EI40" s="382">
        <f t="shared" si="113"/>
        <v>401769</v>
      </c>
      <c r="EJ40" s="208">
        <f t="shared" si="34"/>
        <v>401769</v>
      </c>
      <c r="EK40" s="2">
        <f t="shared" si="114"/>
      </c>
      <c r="EL40" s="2">
        <f t="shared" si="35"/>
      </c>
      <c r="EM40" s="34"/>
      <c r="EN40" s="7">
        <f t="shared" si="36"/>
        <v>0</v>
      </c>
      <c r="EO40" s="124">
        <f t="shared" si="37"/>
        <v>0</v>
      </c>
      <c r="EP40" s="214">
        <f t="shared" si="38"/>
      </c>
      <c r="EQ40" s="213" t="str">
        <f t="shared" si="39"/>
        <v>●</v>
      </c>
      <c r="ER40" s="213">
        <f t="shared" si="40"/>
      </c>
      <c r="ES40" s="34">
        <v>5</v>
      </c>
      <c r="ET40" s="187">
        <v>17</v>
      </c>
      <c r="EU40" s="34">
        <v>5</v>
      </c>
      <c r="EV40" s="34"/>
      <c r="EW40" s="34"/>
      <c r="EX40" s="34"/>
      <c r="EY40" s="34"/>
      <c r="EZ40" s="34"/>
      <c r="FA40" s="34"/>
      <c r="FB40" s="34"/>
      <c r="FC40" s="2">
        <f t="shared" si="41"/>
        <v>60</v>
      </c>
      <c r="FD40" s="20"/>
      <c r="FE40" s="20">
        <f t="shared" si="115"/>
        <v>115</v>
      </c>
      <c r="FF40" s="2">
        <f t="shared" si="116"/>
        <v>0</v>
      </c>
      <c r="FG40" s="2">
        <f t="shared" si="117"/>
        <v>0</v>
      </c>
      <c r="FH40" s="2">
        <f t="shared" si="118"/>
        <v>0</v>
      </c>
      <c r="FI40" s="2">
        <f t="shared" si="119"/>
        <v>0</v>
      </c>
      <c r="FJ40" s="20"/>
      <c r="FK40" s="326">
        <f t="shared" si="120"/>
        <v>0</v>
      </c>
      <c r="FL40" s="326">
        <f t="shared" si="121"/>
        <v>0</v>
      </c>
      <c r="FM40" s="326">
        <f t="shared" si="122"/>
        <v>0</v>
      </c>
      <c r="FN40" s="326">
        <f t="shared" si="123"/>
        <v>0</v>
      </c>
      <c r="FP40" s="326">
        <f t="shared" si="124"/>
      </c>
      <c r="FQ40" s="326">
        <f t="shared" si="125"/>
      </c>
      <c r="FR40" s="326">
        <f t="shared" si="126"/>
      </c>
      <c r="FS40" s="326">
        <f t="shared" si="127"/>
      </c>
      <c r="GF40" s="2">
        <v>65</v>
      </c>
      <c r="GG40" s="2">
        <f t="shared" si="128"/>
        <v>0</v>
      </c>
      <c r="GH40" s="2">
        <f t="shared" si="129"/>
      </c>
      <c r="GI40" s="20">
        <f t="shared" si="130"/>
      </c>
      <c r="GJ40" s="20">
        <f t="shared" si="42"/>
      </c>
      <c r="GK40" s="20">
        <f t="shared" si="131"/>
      </c>
    </row>
    <row r="41" spans="1:193" s="29" customFormat="1" ht="15" customHeight="1">
      <c r="A41" s="144"/>
      <c r="B41" s="222">
        <f t="shared" si="132"/>
        <v>116</v>
      </c>
      <c r="C41" s="26">
        <f t="shared" si="43"/>
        <v>20271231</v>
      </c>
      <c r="D41" s="26" t="str">
        <f t="shared" si="44"/>
        <v>2027</v>
      </c>
      <c r="E41" s="26" t="str">
        <f t="shared" si="45"/>
        <v>12</v>
      </c>
      <c r="F41" s="26" t="str">
        <f t="shared" si="46"/>
        <v>31</v>
      </c>
      <c r="G41" s="26" t="str">
        <f t="shared" si="47"/>
        <v>2027/12/31</v>
      </c>
      <c r="H41" s="117">
        <f t="shared" si="0"/>
        <v>34</v>
      </c>
      <c r="I41" s="117">
        <f t="shared" si="48"/>
        <v>0</v>
      </c>
      <c r="J41" s="26">
        <f t="shared" si="137"/>
        <v>18</v>
      </c>
      <c r="K41" s="118">
        <f t="shared" si="1"/>
        <v>34</v>
      </c>
      <c r="L41" s="118">
        <f t="shared" si="2"/>
        <v>0</v>
      </c>
      <c r="M41" s="118">
        <f t="shared" si="3"/>
        <v>18</v>
      </c>
      <c r="N41" s="546" t="str">
        <f t="shared" si="133"/>
        <v>116.1.1~116.12.31</v>
      </c>
      <c r="O41" s="547"/>
      <c r="P41" s="547"/>
      <c r="Q41" s="548"/>
      <c r="R41" s="294">
        <f t="shared" si="134"/>
        <v>91</v>
      </c>
      <c r="S41" s="363">
        <f t="shared" si="49"/>
        <v>54</v>
      </c>
      <c r="T41" s="364">
        <f t="shared" si="50"/>
        <v>34</v>
      </c>
      <c r="U41" s="365">
        <f t="shared" si="51"/>
        <v>88</v>
      </c>
      <c r="V41" s="341">
        <v>65</v>
      </c>
      <c r="W41" s="429">
        <f t="shared" si="52"/>
      </c>
      <c r="X41" s="430"/>
      <c r="Y41" s="431"/>
      <c r="Z41" s="230">
        <f t="shared" si="53"/>
      </c>
      <c r="AA41" s="220" t="str">
        <f t="shared" si="54"/>
        <v>○</v>
      </c>
      <c r="AB41" s="393" t="str">
        <f t="shared" si="55"/>
        <v>○</v>
      </c>
      <c r="AC41" s="393" t="str">
        <f t="shared" si="56"/>
        <v>○</v>
      </c>
      <c r="AD41" s="220" t="str">
        <f t="shared" si="57"/>
        <v>○</v>
      </c>
      <c r="AE41" s="220" t="str">
        <f t="shared" si="58"/>
        <v>○</v>
      </c>
      <c r="AF41" s="231" t="str">
        <f t="shared" si="59"/>
        <v>●</v>
      </c>
      <c r="AG41" s="310">
        <f t="shared" si="60"/>
      </c>
      <c r="AH41" s="228">
        <f t="shared" si="61"/>
      </c>
      <c r="AI41" s="321">
        <f t="shared" si="62"/>
      </c>
      <c r="AJ41" s="321">
        <f t="shared" si="63"/>
      </c>
      <c r="AK41" s="321">
        <f t="shared" si="64"/>
      </c>
      <c r="AL41" s="321">
        <f t="shared" si="65"/>
      </c>
      <c r="AM41" s="282">
        <f t="shared" si="66"/>
      </c>
      <c r="AN41" s="103"/>
      <c r="AO41" s="119">
        <f t="shared" si="4"/>
        <v>0</v>
      </c>
      <c r="AP41" s="119">
        <f t="shared" si="67"/>
        <v>0</v>
      </c>
      <c r="AQ41" s="119">
        <f t="shared" si="68"/>
        <v>0</v>
      </c>
      <c r="AR41" s="119">
        <f>IF(OR(AO41+AP41+AQ41+GG41&gt;0,SUM($AO$30:AQ40)+GG40&gt;0),1,0)</f>
        <v>0</v>
      </c>
      <c r="AS41" s="119">
        <f t="shared" si="5"/>
      </c>
      <c r="AT41" s="119">
        <f t="shared" si="69"/>
      </c>
      <c r="AU41" s="119">
        <f t="shared" si="70"/>
      </c>
      <c r="AV41" s="380">
        <f t="shared" si="71"/>
      </c>
      <c r="AW41" s="120">
        <f t="shared" si="6"/>
        <v>0</v>
      </c>
      <c r="AX41" s="120">
        <f t="shared" si="7"/>
        <v>0</v>
      </c>
      <c r="AY41" s="120">
        <f t="shared" si="72"/>
      </c>
      <c r="AZ41" s="120">
        <f t="shared" si="8"/>
        <v>54</v>
      </c>
      <c r="BA41" s="120">
        <f t="shared" si="9"/>
        <v>20271231</v>
      </c>
      <c r="BB41" s="120" t="str">
        <f t="shared" si="10"/>
        <v>116.1.1~116.12.31</v>
      </c>
      <c r="BC41" s="121">
        <f t="shared" si="73"/>
      </c>
      <c r="BD41" s="122">
        <f t="shared" si="74"/>
      </c>
      <c r="BE41" s="122"/>
      <c r="BF41" s="120"/>
      <c r="BG41" s="123">
        <f t="shared" si="75"/>
      </c>
      <c r="BH41" s="31">
        <f t="shared" si="76"/>
        <v>0</v>
      </c>
      <c r="BI41" s="7">
        <f t="shared" si="77"/>
        <v>0</v>
      </c>
      <c r="BJ41" s="7">
        <f t="shared" si="78"/>
        <v>0</v>
      </c>
      <c r="BK41" s="124">
        <f t="shared" si="11"/>
        <v>0</v>
      </c>
      <c r="BL41" s="124">
        <f t="shared" si="79"/>
      </c>
      <c r="BM41" s="124">
        <f t="shared" si="80"/>
        <v>0</v>
      </c>
      <c r="BN41" s="124">
        <f t="shared" si="81"/>
      </c>
      <c r="BO41" s="124">
        <f t="shared" si="82"/>
        <v>0</v>
      </c>
      <c r="BP41" s="124">
        <f t="shared" si="12"/>
      </c>
      <c r="BQ41" s="33"/>
      <c r="BR41" s="169">
        <v>11</v>
      </c>
      <c r="BS41" s="170"/>
      <c r="BT41" s="171"/>
      <c r="BU41" s="172"/>
      <c r="BV41" s="173"/>
      <c r="BW41" s="174"/>
      <c r="BX41" s="175"/>
      <c r="BY41" s="353">
        <f t="shared" si="13"/>
      </c>
      <c r="BZ41" s="354">
        <f t="shared" si="14"/>
      </c>
      <c r="CA41" s="355">
        <f t="shared" si="15"/>
      </c>
      <c r="CB41" s="125">
        <f t="shared" si="16"/>
        <v>3987</v>
      </c>
      <c r="CC41" s="126">
        <f t="shared" si="17"/>
        <v>3987</v>
      </c>
      <c r="CD41" s="126"/>
      <c r="CE41" s="127"/>
      <c r="CF41" s="127"/>
      <c r="CG41" s="127"/>
      <c r="CH41" s="128"/>
      <c r="CI41" s="128"/>
      <c r="CJ41" s="128"/>
      <c r="CK41" s="183">
        <f t="shared" si="18"/>
        <v>13</v>
      </c>
      <c r="CL41" s="7">
        <f t="shared" si="19"/>
        <v>12</v>
      </c>
      <c r="CM41" s="20">
        <f t="shared" si="20"/>
        <v>116</v>
      </c>
      <c r="CN41" s="382">
        <f t="shared" si="83"/>
        <v>46738</v>
      </c>
      <c r="CO41" s="185">
        <f t="shared" si="84"/>
        <v>12</v>
      </c>
      <c r="CP41" s="2">
        <f t="shared" si="21"/>
        <v>17</v>
      </c>
      <c r="CQ41" s="382">
        <f t="shared" si="85"/>
        <v>46734</v>
      </c>
      <c r="CR41" s="185">
        <f t="shared" si="135"/>
        <v>12</v>
      </c>
      <c r="CS41" s="2">
        <f t="shared" si="136"/>
        <v>13</v>
      </c>
      <c r="CT41" s="2" t="str">
        <f t="shared" si="86"/>
        <v>初任</v>
      </c>
      <c r="CU41" s="382">
        <f t="shared" si="87"/>
        <v>46734</v>
      </c>
      <c r="CV41" s="2">
        <f t="shared" si="88"/>
        <v>12</v>
      </c>
      <c r="CW41" s="2" t="str">
        <f t="shared" si="89"/>
        <v>生日</v>
      </c>
      <c r="CX41" s="382">
        <f t="shared" si="90"/>
        <v>46738</v>
      </c>
      <c r="CY41" s="2">
        <f t="shared" si="91"/>
        <v>12</v>
      </c>
      <c r="CZ41" s="2">
        <f t="shared" si="22"/>
        <v>0</v>
      </c>
      <c r="DA41" s="2">
        <f t="shared" si="92"/>
      </c>
      <c r="DB41" s="2">
        <f t="shared" si="23"/>
      </c>
      <c r="DC41" s="2">
        <f t="shared" si="93"/>
      </c>
      <c r="DD41" s="2">
        <f t="shared" si="94"/>
      </c>
      <c r="DE41" s="2">
        <f t="shared" si="95"/>
      </c>
      <c r="DF41" s="2">
        <f t="shared" si="24"/>
      </c>
      <c r="DG41" s="129">
        <f t="shared" si="25"/>
      </c>
      <c r="DH41" s="2">
        <f t="shared" si="26"/>
      </c>
      <c r="DI41" s="2">
        <f t="shared" si="96"/>
      </c>
      <c r="DJ41" s="129">
        <f t="shared" si="97"/>
      </c>
      <c r="DK41" s="2">
        <f t="shared" si="27"/>
      </c>
      <c r="DL41" s="2">
        <f t="shared" si="98"/>
      </c>
      <c r="DM41" s="129">
        <f t="shared" si="99"/>
      </c>
      <c r="DN41" s="2">
        <f t="shared" si="28"/>
      </c>
      <c r="DO41" s="2">
        <f t="shared" si="29"/>
      </c>
      <c r="DP41" s="129">
        <f t="shared" si="100"/>
      </c>
      <c r="DQ41" s="2">
        <f t="shared" si="30"/>
      </c>
      <c r="DR41" s="2">
        <f t="shared" si="31"/>
      </c>
      <c r="DS41" s="129">
        <f t="shared" si="101"/>
      </c>
      <c r="DT41" s="2">
        <f t="shared" si="32"/>
      </c>
      <c r="DU41" s="2">
        <f t="shared" si="33"/>
      </c>
      <c r="DV41" s="129">
        <f t="shared" si="102"/>
      </c>
      <c r="DW41" s="2">
        <f t="shared" si="103"/>
      </c>
      <c r="DX41" s="2">
        <f t="shared" si="104"/>
      </c>
      <c r="DY41" s="129">
        <f t="shared" si="105"/>
      </c>
      <c r="DZ41" s="129"/>
      <c r="EA41" s="21">
        <f t="shared" si="106"/>
      </c>
      <c r="EB41" s="382">
        <f t="shared" si="107"/>
        <v>401769</v>
      </c>
      <c r="EC41" s="382">
        <f t="shared" si="108"/>
        <v>401769</v>
      </c>
      <c r="ED41" s="2">
        <f t="shared" si="109"/>
      </c>
      <c r="EE41" s="382">
        <f t="shared" si="110"/>
        <v>401769</v>
      </c>
      <c r="EF41" s="382">
        <f t="shared" si="111"/>
        <v>401769</v>
      </c>
      <c r="EG41" s="382">
        <f t="shared" si="112"/>
        <v>401769</v>
      </c>
      <c r="EH41" s="382"/>
      <c r="EI41" s="382">
        <f t="shared" si="113"/>
        <v>401769</v>
      </c>
      <c r="EJ41" s="208">
        <f t="shared" si="34"/>
        <v>401769</v>
      </c>
      <c r="EK41" s="2">
        <f t="shared" si="114"/>
      </c>
      <c r="EL41" s="2">
        <f t="shared" si="35"/>
      </c>
      <c r="EM41" s="34"/>
      <c r="EN41" s="7">
        <f t="shared" si="36"/>
        <v>0</v>
      </c>
      <c r="EO41" s="124">
        <f t="shared" si="37"/>
        <v>0</v>
      </c>
      <c r="EP41" s="214">
        <f t="shared" si="38"/>
      </c>
      <c r="EQ41" s="213" t="str">
        <f t="shared" si="39"/>
        <v>●</v>
      </c>
      <c r="ER41" s="213">
        <f t="shared" si="40"/>
      </c>
      <c r="ES41" s="34">
        <v>6</v>
      </c>
      <c r="ET41" s="187">
        <v>18</v>
      </c>
      <c r="EU41" s="34">
        <v>6</v>
      </c>
      <c r="EV41" s="34"/>
      <c r="EW41" s="34"/>
      <c r="EX41" s="34"/>
      <c r="EY41" s="34"/>
      <c r="EZ41" s="34"/>
      <c r="FA41" s="34"/>
      <c r="FB41" s="34"/>
      <c r="FC41" s="2">
        <f t="shared" si="41"/>
        <v>60</v>
      </c>
      <c r="FD41" s="20"/>
      <c r="FE41" s="20">
        <f t="shared" si="115"/>
        <v>116</v>
      </c>
      <c r="FF41" s="2">
        <f t="shared" si="116"/>
        <v>0</v>
      </c>
      <c r="FG41" s="2">
        <f t="shared" si="117"/>
        <v>0</v>
      </c>
      <c r="FH41" s="2">
        <f t="shared" si="118"/>
        <v>0</v>
      </c>
      <c r="FI41" s="2">
        <f t="shared" si="119"/>
        <v>0</v>
      </c>
      <c r="FJ41" s="20"/>
      <c r="FK41" s="326">
        <f t="shared" si="120"/>
        <v>0</v>
      </c>
      <c r="FL41" s="326">
        <f t="shared" si="121"/>
        <v>0</v>
      </c>
      <c r="FM41" s="326">
        <f t="shared" si="122"/>
        <v>0</v>
      </c>
      <c r="FN41" s="326">
        <f t="shared" si="123"/>
        <v>0</v>
      </c>
      <c r="FP41" s="326">
        <f t="shared" si="124"/>
      </c>
      <c r="FQ41" s="326">
        <f t="shared" si="125"/>
      </c>
      <c r="FR41" s="326">
        <f t="shared" si="126"/>
      </c>
      <c r="FS41" s="326">
        <f t="shared" si="127"/>
      </c>
      <c r="GF41" s="2">
        <v>65</v>
      </c>
      <c r="GG41" s="2">
        <f t="shared" si="128"/>
        <v>0</v>
      </c>
      <c r="GH41" s="2">
        <f t="shared" si="129"/>
      </c>
      <c r="GI41" s="20">
        <f t="shared" si="130"/>
      </c>
      <c r="GJ41" s="20">
        <f t="shared" si="42"/>
      </c>
      <c r="GK41" s="20">
        <f t="shared" si="131"/>
      </c>
    </row>
    <row r="42" spans="1:193" s="29" customFormat="1" ht="15" customHeight="1">
      <c r="A42" s="144"/>
      <c r="B42" s="222">
        <f t="shared" si="132"/>
        <v>117</v>
      </c>
      <c r="C42" s="26">
        <f t="shared" si="43"/>
        <v>20281231</v>
      </c>
      <c r="D42" s="26" t="str">
        <f t="shared" si="44"/>
        <v>2028</v>
      </c>
      <c r="E42" s="26" t="str">
        <f t="shared" si="45"/>
        <v>12</v>
      </c>
      <c r="F42" s="26" t="str">
        <f t="shared" si="46"/>
        <v>31</v>
      </c>
      <c r="G42" s="26" t="str">
        <f t="shared" si="47"/>
        <v>2028/12/31</v>
      </c>
      <c r="H42" s="117">
        <f t="shared" si="0"/>
        <v>35</v>
      </c>
      <c r="I42" s="117">
        <f t="shared" si="48"/>
        <v>0</v>
      </c>
      <c r="J42" s="26">
        <f t="shared" si="137"/>
        <v>18</v>
      </c>
      <c r="K42" s="118">
        <f t="shared" si="1"/>
        <v>35</v>
      </c>
      <c r="L42" s="118">
        <f t="shared" si="2"/>
        <v>0</v>
      </c>
      <c r="M42" s="118">
        <f t="shared" si="3"/>
        <v>18</v>
      </c>
      <c r="N42" s="546" t="str">
        <f t="shared" si="133"/>
        <v>117.1.1~117.12.31</v>
      </c>
      <c r="O42" s="547"/>
      <c r="P42" s="547"/>
      <c r="Q42" s="548"/>
      <c r="R42" s="294">
        <f t="shared" si="134"/>
        <v>92</v>
      </c>
      <c r="S42" s="363">
        <f t="shared" si="49"/>
        <v>55</v>
      </c>
      <c r="T42" s="364">
        <f t="shared" si="50"/>
        <v>35</v>
      </c>
      <c r="U42" s="365">
        <f t="shared" si="51"/>
        <v>90</v>
      </c>
      <c r="V42" s="341">
        <v>65</v>
      </c>
      <c r="W42" s="429">
        <f t="shared" si="52"/>
      </c>
      <c r="X42" s="430"/>
      <c r="Y42" s="431"/>
      <c r="Z42" s="230">
        <f t="shared" si="53"/>
      </c>
      <c r="AA42" s="220" t="str">
        <f t="shared" si="54"/>
        <v>○</v>
      </c>
      <c r="AB42" s="393" t="str">
        <f t="shared" si="55"/>
        <v>○</v>
      </c>
      <c r="AC42" s="393" t="str">
        <f t="shared" si="56"/>
        <v>○</v>
      </c>
      <c r="AD42" s="220" t="str">
        <f t="shared" si="57"/>
        <v>○</v>
      </c>
      <c r="AE42" s="220" t="str">
        <f t="shared" si="58"/>
        <v>○</v>
      </c>
      <c r="AF42" s="231" t="str">
        <f t="shared" si="59"/>
        <v>●</v>
      </c>
      <c r="AG42" s="310" t="str">
        <f t="shared" si="60"/>
        <v>★</v>
      </c>
      <c r="AH42" s="228">
        <f t="shared" si="61"/>
      </c>
      <c r="AI42" s="321">
        <f t="shared" si="62"/>
      </c>
      <c r="AJ42" s="321">
        <f t="shared" si="63"/>
      </c>
      <c r="AK42" s="321">
        <f t="shared" si="64"/>
      </c>
      <c r="AL42" s="321">
        <f t="shared" si="65"/>
      </c>
      <c r="AM42" s="282">
        <f t="shared" si="66"/>
      </c>
      <c r="AN42" s="103"/>
      <c r="AO42" s="119">
        <f t="shared" si="4"/>
        <v>0</v>
      </c>
      <c r="AP42" s="119">
        <f t="shared" si="67"/>
        <v>0</v>
      </c>
      <c r="AQ42" s="119">
        <f t="shared" si="68"/>
        <v>0</v>
      </c>
      <c r="AR42" s="119">
        <f>IF(OR(AO42+AP42+AQ42+GG42&gt;0,SUM($AO$30:AQ41)+GG41&gt;0),1,0)</f>
        <v>0</v>
      </c>
      <c r="AS42" s="119">
        <f t="shared" si="5"/>
      </c>
      <c r="AT42" s="119">
        <f t="shared" si="69"/>
      </c>
      <c r="AU42" s="119">
        <f t="shared" si="70"/>
      </c>
      <c r="AV42" s="380">
        <f t="shared" si="71"/>
      </c>
      <c r="AW42" s="120">
        <f t="shared" si="6"/>
        <v>0</v>
      </c>
      <c r="AX42" s="120">
        <f t="shared" si="7"/>
        <v>0</v>
      </c>
      <c r="AY42" s="120">
        <f t="shared" si="72"/>
      </c>
      <c r="AZ42" s="120">
        <f t="shared" si="8"/>
        <v>55</v>
      </c>
      <c r="BA42" s="120">
        <f t="shared" si="9"/>
        <v>20281231</v>
      </c>
      <c r="BB42" s="120" t="str">
        <f t="shared" si="10"/>
        <v>117.1.1~117.12.31</v>
      </c>
      <c r="BC42" s="121">
        <f t="shared" si="73"/>
      </c>
      <c r="BD42" s="122">
        <f t="shared" si="74"/>
      </c>
      <c r="BE42" s="122"/>
      <c r="BF42" s="120"/>
      <c r="BG42" s="123">
        <f t="shared" si="75"/>
      </c>
      <c r="BH42" s="31">
        <f t="shared" si="76"/>
        <v>1</v>
      </c>
      <c r="BI42" s="7">
        <f t="shared" si="77"/>
        <v>0</v>
      </c>
      <c r="BJ42" s="7">
        <f t="shared" si="78"/>
        <v>0</v>
      </c>
      <c r="BK42" s="124">
        <f t="shared" si="11"/>
        <v>0</v>
      </c>
      <c r="BL42" s="124" t="str">
        <f t="shared" si="79"/>
        <v>●</v>
      </c>
      <c r="BM42" s="124">
        <f t="shared" si="80"/>
        <v>0</v>
      </c>
      <c r="BN42" s="124">
        <f t="shared" si="81"/>
      </c>
      <c r="BO42" s="124">
        <f t="shared" si="82"/>
        <v>0</v>
      </c>
      <c r="BP42" s="124">
        <f t="shared" si="12"/>
      </c>
      <c r="BQ42" s="33"/>
      <c r="BR42" s="169">
        <v>12</v>
      </c>
      <c r="BS42" s="170"/>
      <c r="BT42" s="171"/>
      <c r="BU42" s="172"/>
      <c r="BV42" s="173"/>
      <c r="BW42" s="174"/>
      <c r="BX42" s="175"/>
      <c r="BY42" s="353">
        <f t="shared" si="13"/>
      </c>
      <c r="BZ42" s="354">
        <f t="shared" si="14"/>
      </c>
      <c r="CA42" s="355">
        <f t="shared" si="15"/>
      </c>
      <c r="CB42" s="125">
        <f t="shared" si="16"/>
        <v>3987</v>
      </c>
      <c r="CC42" s="126">
        <f t="shared" si="17"/>
        <v>3987</v>
      </c>
      <c r="CD42" s="126"/>
      <c r="CE42" s="127"/>
      <c r="CF42" s="127"/>
      <c r="CG42" s="127"/>
      <c r="CH42" s="128"/>
      <c r="CI42" s="128"/>
      <c r="CJ42" s="128"/>
      <c r="CK42" s="183">
        <f t="shared" si="18"/>
        <v>13</v>
      </c>
      <c r="CL42" s="7">
        <f t="shared" si="19"/>
        <v>12</v>
      </c>
      <c r="CM42" s="20">
        <f t="shared" si="20"/>
        <v>117</v>
      </c>
      <c r="CN42" s="382">
        <f t="shared" si="83"/>
        <v>47104</v>
      </c>
      <c r="CO42" s="185">
        <f t="shared" si="84"/>
        <v>12</v>
      </c>
      <c r="CP42" s="2">
        <f t="shared" si="21"/>
        <v>17</v>
      </c>
      <c r="CQ42" s="382">
        <f t="shared" si="85"/>
        <v>47100</v>
      </c>
      <c r="CR42" s="185">
        <f t="shared" si="135"/>
        <v>12</v>
      </c>
      <c r="CS42" s="2">
        <f t="shared" si="136"/>
        <v>13</v>
      </c>
      <c r="CT42" s="2" t="str">
        <f t="shared" si="86"/>
        <v>初任</v>
      </c>
      <c r="CU42" s="382">
        <f t="shared" si="87"/>
        <v>47100</v>
      </c>
      <c r="CV42" s="2">
        <f t="shared" si="88"/>
        <v>12</v>
      </c>
      <c r="CW42" s="2" t="str">
        <f t="shared" si="89"/>
        <v>生日</v>
      </c>
      <c r="CX42" s="382">
        <f t="shared" si="90"/>
        <v>47104</v>
      </c>
      <c r="CY42" s="2">
        <f t="shared" si="91"/>
        <v>12</v>
      </c>
      <c r="CZ42" s="2">
        <f t="shared" si="22"/>
        <v>0</v>
      </c>
      <c r="DA42" s="2">
        <f t="shared" si="92"/>
      </c>
      <c r="DB42" s="2">
        <f t="shared" si="23"/>
      </c>
      <c r="DC42" s="2">
        <f t="shared" si="93"/>
      </c>
      <c r="DD42" s="2">
        <f t="shared" si="94"/>
      </c>
      <c r="DE42" s="2">
        <f t="shared" si="95"/>
      </c>
      <c r="DF42" s="2">
        <f t="shared" si="24"/>
      </c>
      <c r="DG42" s="129">
        <f t="shared" si="25"/>
      </c>
      <c r="DH42" s="2">
        <f t="shared" si="26"/>
      </c>
      <c r="DI42" s="2">
        <f t="shared" si="96"/>
      </c>
      <c r="DJ42" s="129">
        <f t="shared" si="97"/>
      </c>
      <c r="DK42" s="2">
        <f t="shared" si="27"/>
      </c>
      <c r="DL42" s="2">
        <f t="shared" si="98"/>
      </c>
      <c r="DM42" s="129">
        <f t="shared" si="99"/>
      </c>
      <c r="DN42" s="2">
        <f t="shared" si="28"/>
      </c>
      <c r="DO42" s="2">
        <f t="shared" si="29"/>
      </c>
      <c r="DP42" s="129">
        <f t="shared" si="100"/>
      </c>
      <c r="DQ42" s="2">
        <f t="shared" si="30"/>
      </c>
      <c r="DR42" s="2">
        <f t="shared" si="31"/>
      </c>
      <c r="DS42" s="129">
        <f t="shared" si="101"/>
      </c>
      <c r="DT42" s="2">
        <f t="shared" si="32"/>
      </c>
      <c r="DU42" s="2">
        <f t="shared" si="33"/>
      </c>
      <c r="DV42" s="129">
        <f t="shared" si="102"/>
      </c>
      <c r="DW42" s="2">
        <f t="shared" si="103"/>
      </c>
      <c r="DX42" s="2">
        <f t="shared" si="104"/>
      </c>
      <c r="DY42" s="129">
        <f t="shared" si="105"/>
      </c>
      <c r="DZ42" s="129"/>
      <c r="EA42" s="21">
        <f t="shared" si="106"/>
      </c>
      <c r="EB42" s="382">
        <f t="shared" si="107"/>
        <v>401769</v>
      </c>
      <c r="EC42" s="382">
        <f t="shared" si="108"/>
        <v>401769</v>
      </c>
      <c r="ED42" s="2">
        <f t="shared" si="109"/>
      </c>
      <c r="EE42" s="382">
        <f t="shared" si="110"/>
        <v>401769</v>
      </c>
      <c r="EF42" s="382">
        <f t="shared" si="111"/>
        <v>401769</v>
      </c>
      <c r="EG42" s="382">
        <f t="shared" si="112"/>
        <v>401769</v>
      </c>
      <c r="EH42" s="382"/>
      <c r="EI42" s="382">
        <f t="shared" si="113"/>
        <v>401769</v>
      </c>
      <c r="EJ42" s="208">
        <f t="shared" si="34"/>
        <v>401769</v>
      </c>
      <c r="EK42" s="2">
        <f t="shared" si="114"/>
      </c>
      <c r="EL42" s="2">
        <f t="shared" si="35"/>
      </c>
      <c r="EM42" s="34"/>
      <c r="EN42" s="7">
        <f t="shared" si="36"/>
        <v>0</v>
      </c>
      <c r="EO42" s="124">
        <f t="shared" si="37"/>
        <v>0</v>
      </c>
      <c r="EP42" s="214">
        <f t="shared" si="38"/>
      </c>
      <c r="EQ42" s="213" t="str">
        <f t="shared" si="39"/>
        <v>●</v>
      </c>
      <c r="ER42" s="213" t="e">
        <f t="shared" si="40"/>
        <v>#VALUE!</v>
      </c>
      <c r="ES42" s="34">
        <v>7</v>
      </c>
      <c r="ET42" s="187">
        <v>19</v>
      </c>
      <c r="EU42" s="34">
        <v>7</v>
      </c>
      <c r="EV42" s="34"/>
      <c r="EW42" s="34"/>
      <c r="EX42" s="34"/>
      <c r="EY42" s="34"/>
      <c r="EZ42" s="34"/>
      <c r="FA42" s="34"/>
      <c r="FB42" s="34"/>
      <c r="FC42" s="2">
        <f t="shared" si="41"/>
        <v>60</v>
      </c>
      <c r="FD42" s="20"/>
      <c r="FE42" s="20">
        <f t="shared" si="115"/>
        <v>117</v>
      </c>
      <c r="FF42" s="2">
        <f t="shared" si="116"/>
        <v>0</v>
      </c>
      <c r="FG42" s="2">
        <f t="shared" si="117"/>
        <v>0</v>
      </c>
      <c r="FH42" s="2">
        <f t="shared" si="118"/>
        <v>0</v>
      </c>
      <c r="FI42" s="2">
        <f t="shared" si="119"/>
        <v>0</v>
      </c>
      <c r="FJ42" s="20"/>
      <c r="FK42" s="326">
        <f t="shared" si="120"/>
        <v>0</v>
      </c>
      <c r="FL42" s="326">
        <f t="shared" si="121"/>
        <v>0</v>
      </c>
      <c r="FM42" s="326">
        <f t="shared" si="122"/>
        <v>0</v>
      </c>
      <c r="FN42" s="326">
        <f t="shared" si="123"/>
        <v>0</v>
      </c>
      <c r="FP42" s="326">
        <f t="shared" si="124"/>
      </c>
      <c r="FQ42" s="326">
        <f t="shared" si="125"/>
      </c>
      <c r="FR42" s="326">
        <f t="shared" si="126"/>
      </c>
      <c r="FS42" s="326">
        <f t="shared" si="127"/>
      </c>
      <c r="GF42" s="2">
        <v>65</v>
      </c>
      <c r="GG42" s="2">
        <f t="shared" si="128"/>
        <v>0</v>
      </c>
      <c r="GH42" s="2">
        <f t="shared" si="129"/>
      </c>
      <c r="GI42" s="20">
        <f t="shared" si="130"/>
      </c>
      <c r="GJ42" s="20">
        <f t="shared" si="42"/>
      </c>
      <c r="GK42" s="20">
        <f t="shared" si="131"/>
      </c>
    </row>
    <row r="43" spans="1:193" s="29" customFormat="1" ht="15" customHeight="1">
      <c r="A43" s="144"/>
      <c r="B43" s="222">
        <f t="shared" si="132"/>
        <v>118</v>
      </c>
      <c r="C43" s="26">
        <f t="shared" si="43"/>
        <v>20291231</v>
      </c>
      <c r="D43" s="26" t="str">
        <f t="shared" si="44"/>
        <v>2029</v>
      </c>
      <c r="E43" s="26" t="str">
        <f t="shared" si="45"/>
        <v>12</v>
      </c>
      <c r="F43" s="26" t="str">
        <f t="shared" si="46"/>
        <v>31</v>
      </c>
      <c r="G43" s="26" t="str">
        <f t="shared" si="47"/>
        <v>2029/12/31</v>
      </c>
      <c r="H43" s="117">
        <f t="shared" si="0"/>
        <v>36</v>
      </c>
      <c r="I43" s="117">
        <f t="shared" si="48"/>
        <v>0</v>
      </c>
      <c r="J43" s="26">
        <f t="shared" si="137"/>
        <v>18</v>
      </c>
      <c r="K43" s="118">
        <f t="shared" si="1"/>
        <v>36</v>
      </c>
      <c r="L43" s="118">
        <f t="shared" si="2"/>
        <v>0</v>
      </c>
      <c r="M43" s="118">
        <f t="shared" si="3"/>
        <v>18</v>
      </c>
      <c r="N43" s="546" t="str">
        <f t="shared" si="133"/>
        <v>118.1.1~118.12.31</v>
      </c>
      <c r="O43" s="547"/>
      <c r="P43" s="547"/>
      <c r="Q43" s="548"/>
      <c r="R43" s="294">
        <f t="shared" si="134"/>
        <v>93</v>
      </c>
      <c r="S43" s="363">
        <f t="shared" si="49"/>
        <v>56</v>
      </c>
      <c r="T43" s="364">
        <f t="shared" si="50"/>
        <v>36</v>
      </c>
      <c r="U43" s="365">
        <f t="shared" si="51"/>
        <v>92</v>
      </c>
      <c r="V43" s="341">
        <v>65</v>
      </c>
      <c r="W43" s="429">
        <f t="shared" si="52"/>
      </c>
      <c r="X43" s="430"/>
      <c r="Y43" s="431"/>
      <c r="Z43" s="230">
        <f t="shared" si="53"/>
      </c>
      <c r="AA43" s="220" t="str">
        <f t="shared" si="54"/>
        <v>○</v>
      </c>
      <c r="AB43" s="393" t="str">
        <f t="shared" si="55"/>
        <v>○</v>
      </c>
      <c r="AC43" s="393" t="str">
        <f t="shared" si="56"/>
        <v>○</v>
      </c>
      <c r="AD43" s="220" t="str">
        <f t="shared" si="57"/>
        <v>○</v>
      </c>
      <c r="AE43" s="220" t="str">
        <f t="shared" si="58"/>
        <v>○</v>
      </c>
      <c r="AF43" s="231" t="str">
        <f t="shared" si="59"/>
        <v>●</v>
      </c>
      <c r="AG43" s="310">
        <f t="shared" si="60"/>
      </c>
      <c r="AH43" s="228">
        <f t="shared" si="61"/>
      </c>
      <c r="AI43" s="321">
        <f t="shared" si="62"/>
      </c>
      <c r="AJ43" s="321">
        <f t="shared" si="63"/>
      </c>
      <c r="AK43" s="321">
        <f t="shared" si="64"/>
      </c>
      <c r="AL43" s="321">
        <f t="shared" si="65"/>
      </c>
      <c r="AM43" s="282">
        <f t="shared" si="66"/>
      </c>
      <c r="AN43" s="103"/>
      <c r="AO43" s="119">
        <f t="shared" si="4"/>
        <v>0</v>
      </c>
      <c r="AP43" s="119">
        <f t="shared" si="67"/>
        <v>0</v>
      </c>
      <c r="AQ43" s="119">
        <f t="shared" si="68"/>
        <v>0</v>
      </c>
      <c r="AR43" s="119">
        <f>IF(OR(AO43+AP43+AQ43+GG43&gt;0,SUM($AO$30:AQ42)+GG42&gt;0),1,0)</f>
        <v>0</v>
      </c>
      <c r="AS43" s="119">
        <f t="shared" si="5"/>
      </c>
      <c r="AT43" s="119">
        <f t="shared" si="69"/>
      </c>
      <c r="AU43" s="119">
        <f t="shared" si="70"/>
      </c>
      <c r="AV43" s="380">
        <f t="shared" si="71"/>
      </c>
      <c r="AW43" s="120">
        <f t="shared" si="6"/>
        <v>0</v>
      </c>
      <c r="AX43" s="120">
        <f t="shared" si="7"/>
        <v>0</v>
      </c>
      <c r="AY43" s="120">
        <f t="shared" si="72"/>
      </c>
      <c r="AZ43" s="120">
        <f t="shared" si="8"/>
        <v>56</v>
      </c>
      <c r="BA43" s="120">
        <f t="shared" si="9"/>
        <v>20291231</v>
      </c>
      <c r="BB43" s="120" t="str">
        <f t="shared" si="10"/>
        <v>118.1.1~118.12.31</v>
      </c>
      <c r="BC43" s="121">
        <f t="shared" si="73"/>
      </c>
      <c r="BD43" s="122">
        <f t="shared" si="74"/>
      </c>
      <c r="BE43" s="122"/>
      <c r="BF43" s="120"/>
      <c r="BG43" s="123">
        <f t="shared" si="75"/>
      </c>
      <c r="BH43" s="31">
        <f t="shared" si="76"/>
        <v>1</v>
      </c>
      <c r="BI43" s="7">
        <f t="shared" si="77"/>
        <v>0</v>
      </c>
      <c r="BJ43" s="7">
        <f t="shared" si="78"/>
        <v>0</v>
      </c>
      <c r="BK43" s="124">
        <f t="shared" si="11"/>
        <v>0</v>
      </c>
      <c r="BL43" s="124">
        <f t="shared" si="79"/>
      </c>
      <c r="BM43" s="124">
        <f t="shared" si="80"/>
        <v>0</v>
      </c>
      <c r="BN43" s="124">
        <f t="shared" si="81"/>
      </c>
      <c r="BO43" s="124">
        <f t="shared" si="82"/>
        <v>0</v>
      </c>
      <c r="BP43" s="124">
        <f t="shared" si="12"/>
      </c>
      <c r="BQ43" s="33"/>
      <c r="BR43" s="169">
        <v>13</v>
      </c>
      <c r="BS43" s="170"/>
      <c r="BT43" s="171"/>
      <c r="BU43" s="172"/>
      <c r="BV43" s="173"/>
      <c r="BW43" s="174"/>
      <c r="BX43" s="175"/>
      <c r="BY43" s="353">
        <f t="shared" si="13"/>
      </c>
      <c r="BZ43" s="354">
        <f t="shared" si="14"/>
      </c>
      <c r="CA43" s="355">
        <f t="shared" si="15"/>
      </c>
      <c r="CB43" s="125">
        <f t="shared" si="16"/>
        <v>3987</v>
      </c>
      <c r="CC43" s="126">
        <f t="shared" si="17"/>
        <v>3987</v>
      </c>
      <c r="CD43" s="126"/>
      <c r="CE43" s="127"/>
      <c r="CF43" s="127"/>
      <c r="CG43" s="127"/>
      <c r="CH43" s="128"/>
      <c r="CI43" s="128"/>
      <c r="CJ43" s="128"/>
      <c r="CK43" s="183">
        <f t="shared" si="18"/>
        <v>13</v>
      </c>
      <c r="CL43" s="7">
        <f t="shared" si="19"/>
        <v>12</v>
      </c>
      <c r="CM43" s="20">
        <f t="shared" si="20"/>
        <v>118</v>
      </c>
      <c r="CN43" s="382">
        <f t="shared" si="83"/>
        <v>47469</v>
      </c>
      <c r="CO43" s="185">
        <f t="shared" si="84"/>
        <v>12</v>
      </c>
      <c r="CP43" s="2">
        <f t="shared" si="21"/>
        <v>17</v>
      </c>
      <c r="CQ43" s="382">
        <f t="shared" si="85"/>
        <v>47465</v>
      </c>
      <c r="CR43" s="185">
        <f t="shared" si="135"/>
        <v>12</v>
      </c>
      <c r="CS43" s="2">
        <f t="shared" si="136"/>
        <v>13</v>
      </c>
      <c r="CT43" s="2" t="str">
        <f t="shared" si="86"/>
        <v>初任</v>
      </c>
      <c r="CU43" s="382">
        <f t="shared" si="87"/>
        <v>47465</v>
      </c>
      <c r="CV43" s="2">
        <f t="shared" si="88"/>
        <v>12</v>
      </c>
      <c r="CW43" s="2" t="str">
        <f t="shared" si="89"/>
        <v>生日</v>
      </c>
      <c r="CX43" s="382">
        <f t="shared" si="90"/>
        <v>47469</v>
      </c>
      <c r="CY43" s="2">
        <f t="shared" si="91"/>
        <v>12</v>
      </c>
      <c r="CZ43" s="2">
        <f t="shared" si="22"/>
        <v>0</v>
      </c>
      <c r="DA43" s="2">
        <f t="shared" si="92"/>
      </c>
      <c r="DB43" s="2">
        <f t="shared" si="23"/>
      </c>
      <c r="DC43" s="2">
        <f t="shared" si="93"/>
      </c>
      <c r="DD43" s="2">
        <f t="shared" si="94"/>
      </c>
      <c r="DE43" s="2">
        <f t="shared" si="95"/>
      </c>
      <c r="DF43" s="2">
        <f t="shared" si="24"/>
      </c>
      <c r="DG43" s="129">
        <f t="shared" si="25"/>
      </c>
      <c r="DH43" s="2">
        <f t="shared" si="26"/>
      </c>
      <c r="DI43" s="2">
        <f t="shared" si="96"/>
      </c>
      <c r="DJ43" s="129">
        <f t="shared" si="97"/>
      </c>
      <c r="DK43" s="2">
        <f t="shared" si="27"/>
      </c>
      <c r="DL43" s="2">
        <f t="shared" si="98"/>
      </c>
      <c r="DM43" s="129">
        <f t="shared" si="99"/>
      </c>
      <c r="DN43" s="2">
        <f t="shared" si="28"/>
      </c>
      <c r="DO43" s="2">
        <f t="shared" si="29"/>
      </c>
      <c r="DP43" s="129">
        <f t="shared" si="100"/>
      </c>
      <c r="DQ43" s="2">
        <f t="shared" si="30"/>
      </c>
      <c r="DR43" s="2">
        <f t="shared" si="31"/>
      </c>
      <c r="DS43" s="129">
        <f t="shared" si="101"/>
      </c>
      <c r="DT43" s="2">
        <f t="shared" si="32"/>
      </c>
      <c r="DU43" s="2">
        <f t="shared" si="33"/>
      </c>
      <c r="DV43" s="129">
        <f t="shared" si="102"/>
      </c>
      <c r="DW43" s="2">
        <f t="shared" si="103"/>
      </c>
      <c r="DX43" s="2">
        <f t="shared" si="104"/>
      </c>
      <c r="DY43" s="129">
        <f t="shared" si="105"/>
      </c>
      <c r="DZ43" s="129"/>
      <c r="EA43" s="21">
        <f t="shared" si="106"/>
      </c>
      <c r="EB43" s="382">
        <f t="shared" si="107"/>
        <v>401769</v>
      </c>
      <c r="EC43" s="382">
        <f t="shared" si="108"/>
        <v>401769</v>
      </c>
      <c r="ED43" s="2">
        <f t="shared" si="109"/>
      </c>
      <c r="EE43" s="382">
        <f t="shared" si="110"/>
        <v>401769</v>
      </c>
      <c r="EF43" s="382">
        <f t="shared" si="111"/>
        <v>401769</v>
      </c>
      <c r="EG43" s="382">
        <f t="shared" si="112"/>
        <v>401769</v>
      </c>
      <c r="EH43" s="382"/>
      <c r="EI43" s="382">
        <f t="shared" si="113"/>
        <v>401769</v>
      </c>
      <c r="EJ43" s="208">
        <f t="shared" si="34"/>
        <v>401769</v>
      </c>
      <c r="EK43" s="2">
        <f t="shared" si="114"/>
      </c>
      <c r="EL43" s="2">
        <f t="shared" si="35"/>
      </c>
      <c r="EM43" s="34"/>
      <c r="EN43" s="7">
        <f t="shared" si="36"/>
        <v>0</v>
      </c>
      <c r="EO43" s="124">
        <f t="shared" si="37"/>
        <v>0</v>
      </c>
      <c r="EP43" s="214">
        <f t="shared" si="38"/>
      </c>
      <c r="EQ43" s="213" t="str">
        <f t="shared" si="39"/>
        <v>●</v>
      </c>
      <c r="ER43" s="213" t="e">
        <f t="shared" si="40"/>
        <v>#VALUE!</v>
      </c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2">
        <f t="shared" si="41"/>
        <v>60</v>
      </c>
      <c r="FD43" s="20"/>
      <c r="FE43" s="20">
        <f t="shared" si="115"/>
        <v>118</v>
      </c>
      <c r="FF43" s="2">
        <f t="shared" si="116"/>
        <v>0</v>
      </c>
      <c r="FG43" s="2">
        <f t="shared" si="117"/>
        <v>0</v>
      </c>
      <c r="FH43" s="2">
        <f t="shared" si="118"/>
        <v>0</v>
      </c>
      <c r="FI43" s="2">
        <f t="shared" si="119"/>
        <v>0</v>
      </c>
      <c r="FJ43" s="20"/>
      <c r="FK43" s="326">
        <f t="shared" si="120"/>
        <v>0</v>
      </c>
      <c r="FL43" s="326">
        <f t="shared" si="121"/>
        <v>0</v>
      </c>
      <c r="FM43" s="326">
        <f t="shared" si="122"/>
        <v>0</v>
      </c>
      <c r="FN43" s="326">
        <f t="shared" si="123"/>
        <v>0</v>
      </c>
      <c r="FP43" s="326">
        <f t="shared" si="124"/>
      </c>
      <c r="FQ43" s="326">
        <f t="shared" si="125"/>
      </c>
      <c r="FR43" s="326">
        <f t="shared" si="126"/>
      </c>
      <c r="FS43" s="326">
        <f t="shared" si="127"/>
      </c>
      <c r="GF43" s="2">
        <v>65</v>
      </c>
      <c r="GG43" s="2">
        <f t="shared" si="128"/>
        <v>0</v>
      </c>
      <c r="GH43" s="2">
        <f t="shared" si="129"/>
      </c>
      <c r="GI43" s="20">
        <f t="shared" si="130"/>
      </c>
      <c r="GJ43" s="20">
        <f t="shared" si="42"/>
      </c>
      <c r="GK43" s="20">
        <f t="shared" si="131"/>
      </c>
    </row>
    <row r="44" spans="1:193" s="29" customFormat="1" ht="15" customHeight="1" thickBot="1">
      <c r="A44" s="144"/>
      <c r="B44" s="222">
        <f t="shared" si="132"/>
        <v>119</v>
      </c>
      <c r="C44" s="26">
        <f t="shared" si="43"/>
        <v>20301231</v>
      </c>
      <c r="D44" s="26" t="str">
        <f t="shared" si="44"/>
        <v>2030</v>
      </c>
      <c r="E44" s="26" t="str">
        <f t="shared" si="45"/>
        <v>12</v>
      </c>
      <c r="F44" s="26" t="str">
        <f t="shared" si="46"/>
        <v>31</v>
      </c>
      <c r="G44" s="26" t="str">
        <f t="shared" si="47"/>
        <v>2030/12/31</v>
      </c>
      <c r="H44" s="117">
        <f t="shared" si="0"/>
        <v>37</v>
      </c>
      <c r="I44" s="117">
        <f t="shared" si="48"/>
        <v>0</v>
      </c>
      <c r="J44" s="26">
        <f t="shared" si="137"/>
        <v>18</v>
      </c>
      <c r="K44" s="118">
        <f t="shared" si="1"/>
        <v>37</v>
      </c>
      <c r="L44" s="118">
        <f t="shared" si="2"/>
        <v>0</v>
      </c>
      <c r="M44" s="118">
        <f t="shared" si="3"/>
        <v>18</v>
      </c>
      <c r="N44" s="561" t="str">
        <f t="shared" si="133"/>
        <v>119.1.1~119.12.31</v>
      </c>
      <c r="O44" s="562"/>
      <c r="P44" s="562"/>
      <c r="Q44" s="563"/>
      <c r="R44" s="297">
        <f t="shared" si="134"/>
        <v>94</v>
      </c>
      <c r="S44" s="374">
        <f t="shared" si="49"/>
        <v>57</v>
      </c>
      <c r="T44" s="375">
        <f t="shared" si="50"/>
        <v>37</v>
      </c>
      <c r="U44" s="369">
        <f t="shared" si="51"/>
        <v>94</v>
      </c>
      <c r="V44" s="343">
        <v>65</v>
      </c>
      <c r="W44" s="552">
        <f t="shared" si="52"/>
      </c>
      <c r="X44" s="553"/>
      <c r="Y44" s="554"/>
      <c r="Z44" s="276">
        <f t="shared" si="53"/>
      </c>
      <c r="AA44" s="394" t="str">
        <f t="shared" si="54"/>
        <v>○</v>
      </c>
      <c r="AB44" s="395" t="str">
        <f t="shared" si="55"/>
        <v>○</v>
      </c>
      <c r="AC44" s="395" t="str">
        <f t="shared" si="56"/>
        <v>○</v>
      </c>
      <c r="AD44" s="394" t="str">
        <f t="shared" si="57"/>
        <v>○</v>
      </c>
      <c r="AE44" s="394" t="str">
        <f t="shared" si="58"/>
        <v>○</v>
      </c>
      <c r="AF44" s="277" t="str">
        <f t="shared" si="59"/>
        <v>●</v>
      </c>
      <c r="AG44" s="316">
        <f t="shared" si="60"/>
      </c>
      <c r="AH44" s="278">
        <f t="shared" si="61"/>
      </c>
      <c r="AI44" s="324">
        <f t="shared" si="62"/>
      </c>
      <c r="AJ44" s="324">
        <f t="shared" si="63"/>
      </c>
      <c r="AK44" s="324">
        <f t="shared" si="64"/>
      </c>
      <c r="AL44" s="324">
        <f t="shared" si="65"/>
      </c>
      <c r="AM44" s="283">
        <f t="shared" si="66"/>
      </c>
      <c r="AN44" s="103"/>
      <c r="AO44" s="119">
        <f t="shared" si="4"/>
        <v>0</v>
      </c>
      <c r="AP44" s="119">
        <f t="shared" si="67"/>
        <v>0</v>
      </c>
      <c r="AQ44" s="119">
        <f t="shared" si="68"/>
        <v>0</v>
      </c>
      <c r="AR44" s="119">
        <f>IF(OR(AO44+AP44+AQ44+GG44&gt;0,SUM($AO$30:AQ43)+GG43&gt;0),1,0)</f>
        <v>0</v>
      </c>
      <c r="AS44" s="119">
        <f t="shared" si="5"/>
      </c>
      <c r="AT44" s="119">
        <f t="shared" si="69"/>
      </c>
      <c r="AU44" s="119">
        <f t="shared" si="70"/>
      </c>
      <c r="AV44" s="380">
        <f t="shared" si="71"/>
      </c>
      <c r="AW44" s="120">
        <f t="shared" si="6"/>
        <v>0</v>
      </c>
      <c r="AX44" s="120">
        <f t="shared" si="7"/>
        <v>0</v>
      </c>
      <c r="AY44" s="120">
        <f t="shared" si="72"/>
      </c>
      <c r="AZ44" s="120">
        <f t="shared" si="8"/>
        <v>57</v>
      </c>
      <c r="BA44" s="120">
        <f t="shared" si="9"/>
        <v>20301231</v>
      </c>
      <c r="BB44" s="120" t="str">
        <f t="shared" si="10"/>
        <v>119.1.1~119.12.31</v>
      </c>
      <c r="BC44" s="121">
        <f t="shared" si="73"/>
      </c>
      <c r="BD44" s="122">
        <f t="shared" si="74"/>
      </c>
      <c r="BE44" s="122"/>
      <c r="BF44" s="120"/>
      <c r="BG44" s="123">
        <f t="shared" si="75"/>
      </c>
      <c r="BH44" s="31">
        <f t="shared" si="76"/>
        <v>1</v>
      </c>
      <c r="BI44" s="7">
        <f t="shared" si="77"/>
        <v>0</v>
      </c>
      <c r="BJ44" s="7">
        <f t="shared" si="78"/>
        <v>0</v>
      </c>
      <c r="BK44" s="124">
        <f t="shared" si="11"/>
        <v>0</v>
      </c>
      <c r="BL44" s="124">
        <f t="shared" si="79"/>
      </c>
      <c r="BM44" s="124">
        <f t="shared" si="80"/>
        <v>0</v>
      </c>
      <c r="BN44" s="124">
        <f t="shared" si="81"/>
      </c>
      <c r="BO44" s="124">
        <f t="shared" si="82"/>
        <v>0</v>
      </c>
      <c r="BP44" s="124">
        <f t="shared" si="12"/>
      </c>
      <c r="BQ44" s="33"/>
      <c r="BR44" s="176">
        <v>14</v>
      </c>
      <c r="BS44" s="177"/>
      <c r="BT44" s="178"/>
      <c r="BU44" s="179"/>
      <c r="BV44" s="180"/>
      <c r="BW44" s="181"/>
      <c r="BX44" s="182"/>
      <c r="BY44" s="356">
        <f t="shared" si="13"/>
      </c>
      <c r="BZ44" s="357">
        <f t="shared" si="14"/>
      </c>
      <c r="CA44" s="358">
        <f t="shared" si="15"/>
      </c>
      <c r="CB44" s="125">
        <f t="shared" si="16"/>
        <v>3987</v>
      </c>
      <c r="CC44" s="126">
        <f t="shared" si="17"/>
        <v>3987</v>
      </c>
      <c r="CD44" s="126"/>
      <c r="CE44" s="127"/>
      <c r="CF44" s="127"/>
      <c r="CG44" s="127"/>
      <c r="CH44" s="128"/>
      <c r="CI44" s="128"/>
      <c r="CJ44" s="128"/>
      <c r="CK44" s="183">
        <f t="shared" si="18"/>
        <v>13</v>
      </c>
      <c r="CL44" s="7">
        <f t="shared" si="19"/>
        <v>12</v>
      </c>
      <c r="CM44" s="20">
        <f t="shared" si="20"/>
        <v>119</v>
      </c>
      <c r="CN44" s="382">
        <f t="shared" si="83"/>
        <v>47834</v>
      </c>
      <c r="CO44" s="185">
        <f t="shared" si="84"/>
        <v>12</v>
      </c>
      <c r="CP44" s="2">
        <f t="shared" si="21"/>
        <v>17</v>
      </c>
      <c r="CQ44" s="382">
        <f t="shared" si="85"/>
        <v>47830</v>
      </c>
      <c r="CR44" s="185">
        <f t="shared" si="135"/>
        <v>12</v>
      </c>
      <c r="CS44" s="2">
        <f t="shared" si="136"/>
        <v>13</v>
      </c>
      <c r="CT44" s="2" t="str">
        <f t="shared" si="86"/>
        <v>初任</v>
      </c>
      <c r="CU44" s="382">
        <f t="shared" si="87"/>
        <v>47830</v>
      </c>
      <c r="CV44" s="2">
        <f t="shared" si="88"/>
        <v>12</v>
      </c>
      <c r="CW44" s="2" t="str">
        <f t="shared" si="89"/>
        <v>生日</v>
      </c>
      <c r="CX44" s="382">
        <f t="shared" si="90"/>
        <v>47834</v>
      </c>
      <c r="CY44" s="2">
        <f t="shared" si="91"/>
        <v>12</v>
      </c>
      <c r="CZ44" s="2">
        <f t="shared" si="22"/>
        <v>0</v>
      </c>
      <c r="DA44" s="2">
        <f t="shared" si="92"/>
      </c>
      <c r="DB44" s="2">
        <f t="shared" si="23"/>
      </c>
      <c r="DC44" s="2">
        <f t="shared" si="93"/>
      </c>
      <c r="DD44" s="2">
        <f t="shared" si="94"/>
      </c>
      <c r="DE44" s="2">
        <f t="shared" si="95"/>
      </c>
      <c r="DF44" s="2">
        <f t="shared" si="24"/>
      </c>
      <c r="DG44" s="129">
        <f t="shared" si="25"/>
      </c>
      <c r="DH44" s="2">
        <f t="shared" si="26"/>
      </c>
      <c r="DI44" s="2">
        <f t="shared" si="96"/>
      </c>
      <c r="DJ44" s="129">
        <f t="shared" si="97"/>
      </c>
      <c r="DK44" s="2">
        <f t="shared" si="27"/>
      </c>
      <c r="DL44" s="2">
        <f t="shared" si="98"/>
      </c>
      <c r="DM44" s="129">
        <f t="shared" si="99"/>
      </c>
      <c r="DN44" s="2">
        <f t="shared" si="28"/>
      </c>
      <c r="DO44" s="2">
        <f t="shared" si="29"/>
      </c>
      <c r="DP44" s="129">
        <f t="shared" si="100"/>
      </c>
      <c r="DQ44" s="2">
        <f t="shared" si="30"/>
      </c>
      <c r="DR44" s="2">
        <f t="shared" si="31"/>
      </c>
      <c r="DS44" s="129">
        <f t="shared" si="101"/>
      </c>
      <c r="DT44" s="2">
        <f t="shared" si="32"/>
      </c>
      <c r="DU44" s="2">
        <f t="shared" si="33"/>
      </c>
      <c r="DV44" s="129">
        <f t="shared" si="102"/>
      </c>
      <c r="DW44" s="2">
        <f t="shared" si="103"/>
      </c>
      <c r="DX44" s="2">
        <f t="shared" si="104"/>
      </c>
      <c r="DY44" s="129">
        <f t="shared" si="105"/>
      </c>
      <c r="DZ44" s="129"/>
      <c r="EA44" s="21">
        <f t="shared" si="106"/>
      </c>
      <c r="EB44" s="382">
        <f t="shared" si="107"/>
        <v>401769</v>
      </c>
      <c r="EC44" s="382">
        <f t="shared" si="108"/>
        <v>401769</v>
      </c>
      <c r="ED44" s="2">
        <f t="shared" si="109"/>
      </c>
      <c r="EE44" s="382">
        <f t="shared" si="110"/>
        <v>401769</v>
      </c>
      <c r="EF44" s="382">
        <f t="shared" si="111"/>
        <v>401769</v>
      </c>
      <c r="EG44" s="382">
        <f t="shared" si="112"/>
        <v>401769</v>
      </c>
      <c r="EH44" s="382"/>
      <c r="EI44" s="382">
        <f t="shared" si="113"/>
        <v>401769</v>
      </c>
      <c r="EJ44" s="208">
        <f t="shared" si="34"/>
        <v>401769</v>
      </c>
      <c r="EK44" s="2">
        <f t="shared" si="114"/>
      </c>
      <c r="EL44" s="2">
        <f t="shared" si="35"/>
      </c>
      <c r="EM44" s="34"/>
      <c r="EN44" s="7">
        <f t="shared" si="36"/>
        <v>0</v>
      </c>
      <c r="EO44" s="124">
        <f t="shared" si="37"/>
        <v>0</v>
      </c>
      <c r="EP44" s="214">
        <f t="shared" si="38"/>
      </c>
      <c r="EQ44" s="213" t="str">
        <f t="shared" si="39"/>
        <v>●</v>
      </c>
      <c r="ER44" s="213" t="e">
        <f t="shared" si="40"/>
        <v>#VALUE!</v>
      </c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2">
        <f t="shared" si="41"/>
        <v>60</v>
      </c>
      <c r="FD44" s="20"/>
      <c r="FE44" s="20">
        <f t="shared" si="115"/>
        <v>119</v>
      </c>
      <c r="FF44" s="2">
        <f t="shared" si="116"/>
        <v>0</v>
      </c>
      <c r="FG44" s="2">
        <f t="shared" si="117"/>
        <v>0</v>
      </c>
      <c r="FH44" s="2">
        <f t="shared" si="118"/>
        <v>0</v>
      </c>
      <c r="FI44" s="2">
        <f t="shared" si="119"/>
        <v>0</v>
      </c>
      <c r="FJ44" s="20"/>
      <c r="FK44" s="326">
        <f t="shared" si="120"/>
        <v>0</v>
      </c>
      <c r="FL44" s="326">
        <f t="shared" si="121"/>
        <v>0</v>
      </c>
      <c r="FM44" s="326">
        <f t="shared" si="122"/>
        <v>0</v>
      </c>
      <c r="FN44" s="326">
        <f t="shared" si="123"/>
        <v>0</v>
      </c>
      <c r="FP44" s="326">
        <f t="shared" si="124"/>
      </c>
      <c r="FQ44" s="326">
        <f t="shared" si="125"/>
      </c>
      <c r="FR44" s="326">
        <f t="shared" si="126"/>
      </c>
      <c r="FS44" s="326">
        <f t="shared" si="127"/>
      </c>
      <c r="GF44" s="2">
        <v>65</v>
      </c>
      <c r="GG44" s="2">
        <f t="shared" si="128"/>
        <v>0</v>
      </c>
      <c r="GH44" s="2">
        <f t="shared" si="129"/>
      </c>
      <c r="GI44" s="20">
        <f t="shared" si="130"/>
      </c>
      <c r="GJ44" s="20">
        <f t="shared" si="42"/>
      </c>
      <c r="GK44" s="20">
        <f t="shared" si="131"/>
      </c>
    </row>
    <row r="45" spans="1:193" s="29" customFormat="1" ht="15" customHeight="1" thickTop="1">
      <c r="A45" s="144"/>
      <c r="B45" s="150">
        <f t="shared" si="132"/>
        <v>120</v>
      </c>
      <c r="C45" s="26">
        <f t="shared" si="43"/>
        <v>20311231</v>
      </c>
      <c r="D45" s="26" t="str">
        <f t="shared" si="44"/>
        <v>2031</v>
      </c>
      <c r="E45" s="26" t="str">
        <f t="shared" si="45"/>
        <v>12</v>
      </c>
      <c r="F45" s="26" t="str">
        <f t="shared" si="46"/>
        <v>31</v>
      </c>
      <c r="G45" s="26" t="str">
        <f t="shared" si="47"/>
        <v>2031/12/31</v>
      </c>
      <c r="H45" s="117">
        <f t="shared" si="0"/>
        <v>38</v>
      </c>
      <c r="I45" s="117">
        <f t="shared" si="48"/>
        <v>0</v>
      </c>
      <c r="J45" s="26">
        <f t="shared" si="137"/>
        <v>18</v>
      </c>
      <c r="K45" s="118">
        <f t="shared" si="1"/>
        <v>38</v>
      </c>
      <c r="L45" s="118">
        <f t="shared" si="2"/>
        <v>0</v>
      </c>
      <c r="M45" s="118">
        <f t="shared" si="3"/>
        <v>18</v>
      </c>
      <c r="N45" s="606" t="str">
        <f t="shared" si="133"/>
        <v>120.1.1~120.12.31</v>
      </c>
      <c r="O45" s="607"/>
      <c r="P45" s="607"/>
      <c r="Q45" s="608"/>
      <c r="R45" s="300" t="str">
        <f t="shared" si="134"/>
        <v>65</v>
      </c>
      <c r="S45" s="338">
        <f t="shared" si="49"/>
        <v>58</v>
      </c>
      <c r="T45" s="339">
        <f t="shared" si="50"/>
        <v>38</v>
      </c>
      <c r="U45" s="365">
        <f t="shared" si="51"/>
        <v>96</v>
      </c>
      <c r="V45" s="341">
        <v>65</v>
      </c>
      <c r="W45" s="555">
        <f t="shared" si="52"/>
      </c>
      <c r="X45" s="556"/>
      <c r="Y45" s="557"/>
      <c r="Z45" s="235">
        <f t="shared" si="53"/>
      </c>
      <c r="AA45" s="391" t="str">
        <f t="shared" si="54"/>
        <v>○</v>
      </c>
      <c r="AB45" s="392" t="str">
        <f t="shared" si="55"/>
        <v>○</v>
      </c>
      <c r="AC45" s="392" t="str">
        <f t="shared" si="56"/>
        <v>○</v>
      </c>
      <c r="AD45" s="391" t="str">
        <f t="shared" si="57"/>
        <v>○</v>
      </c>
      <c r="AE45" s="391" t="str">
        <f t="shared" si="58"/>
        <v>○</v>
      </c>
      <c r="AF45" s="236" t="str">
        <f t="shared" si="59"/>
        <v>●</v>
      </c>
      <c r="AG45" s="314">
        <f t="shared" si="60"/>
      </c>
      <c r="AH45" s="229">
        <f t="shared" si="61"/>
      </c>
      <c r="AI45" s="325">
        <f t="shared" si="62"/>
      </c>
      <c r="AJ45" s="325">
        <f t="shared" si="63"/>
      </c>
      <c r="AK45" s="325">
        <f t="shared" si="64"/>
      </c>
      <c r="AL45" s="325">
        <f t="shared" si="65"/>
      </c>
      <c r="AM45" s="205">
        <f t="shared" si="66"/>
      </c>
      <c r="AN45" s="103"/>
      <c r="AO45" s="119">
        <f t="shared" si="4"/>
        <v>0</v>
      </c>
      <c r="AP45" s="119">
        <f t="shared" si="67"/>
        <v>0</v>
      </c>
      <c r="AQ45" s="119">
        <f t="shared" si="68"/>
        <v>0</v>
      </c>
      <c r="AR45" s="119">
        <f>IF(OR(AO45+AP45+AQ45+GG45&gt;0,SUM($AO$30:AQ44)+GG44&gt;0),1,0)</f>
        <v>0</v>
      </c>
      <c r="AS45" s="119">
        <f t="shared" si="5"/>
      </c>
      <c r="AT45" s="119">
        <f t="shared" si="69"/>
      </c>
      <c r="AU45" s="119">
        <f t="shared" si="70"/>
      </c>
      <c r="AV45" s="380">
        <f t="shared" si="71"/>
      </c>
      <c r="AW45" s="120">
        <f t="shared" si="6"/>
        <v>0</v>
      </c>
      <c r="AX45" s="120">
        <f t="shared" si="7"/>
        <v>0</v>
      </c>
      <c r="AY45" s="120">
        <f t="shared" si="72"/>
      </c>
      <c r="AZ45" s="120">
        <f t="shared" si="8"/>
        <v>58</v>
      </c>
      <c r="BA45" s="120">
        <f t="shared" si="9"/>
        <v>20311231</v>
      </c>
      <c r="BB45" s="120" t="str">
        <f t="shared" si="10"/>
        <v>120.1.1~120.12.31</v>
      </c>
      <c r="BC45" s="121">
        <f t="shared" si="73"/>
      </c>
      <c r="BD45" s="122">
        <f t="shared" si="74"/>
      </c>
      <c r="BE45" s="122"/>
      <c r="BF45" s="120"/>
      <c r="BG45" s="123">
        <f t="shared" si="75"/>
      </c>
      <c r="BH45" s="31">
        <f t="shared" si="76"/>
        <v>1</v>
      </c>
      <c r="BI45" s="7">
        <f t="shared" si="77"/>
        <v>0</v>
      </c>
      <c r="BJ45" s="7">
        <f t="shared" si="78"/>
        <v>0</v>
      </c>
      <c r="BK45" s="124">
        <f t="shared" si="11"/>
        <v>0</v>
      </c>
      <c r="BL45" s="124">
        <f t="shared" si="79"/>
      </c>
      <c r="BM45" s="124">
        <f t="shared" si="80"/>
        <v>0</v>
      </c>
      <c r="BN45" s="124">
        <f t="shared" si="81"/>
      </c>
      <c r="BO45" s="124">
        <f t="shared" si="82"/>
        <v>0</v>
      </c>
      <c r="BP45" s="124">
        <f t="shared" si="12"/>
      </c>
      <c r="BQ45" s="33"/>
      <c r="BR45" s="33"/>
      <c r="BS45" s="33"/>
      <c r="BT45" s="33"/>
      <c r="BU45" s="30"/>
      <c r="BV45" s="30"/>
      <c r="BW45" s="30"/>
      <c r="BX45" s="30"/>
      <c r="BY45" s="30"/>
      <c r="BZ45" s="30"/>
      <c r="CA45" s="30"/>
      <c r="CB45" s="125"/>
      <c r="CC45" s="126"/>
      <c r="CD45" s="126"/>
      <c r="CE45" s="127"/>
      <c r="CF45" s="127"/>
      <c r="CG45" s="127"/>
      <c r="CH45" s="128"/>
      <c r="CI45" s="128"/>
      <c r="CJ45" s="128"/>
      <c r="CK45" s="183">
        <f t="shared" si="18"/>
        <v>13</v>
      </c>
      <c r="CL45" s="7">
        <f t="shared" si="19"/>
        <v>12</v>
      </c>
      <c r="CM45" s="20">
        <f t="shared" si="20"/>
        <v>120</v>
      </c>
      <c r="CN45" s="382">
        <f t="shared" si="83"/>
        <v>48199</v>
      </c>
      <c r="CO45" s="185">
        <f t="shared" si="84"/>
        <v>12</v>
      </c>
      <c r="CP45" s="2">
        <f t="shared" si="21"/>
        <v>17</v>
      </c>
      <c r="CQ45" s="382">
        <f t="shared" si="85"/>
        <v>48195</v>
      </c>
      <c r="CR45" s="185">
        <f t="shared" si="135"/>
        <v>12</v>
      </c>
      <c r="CS45" s="2">
        <f t="shared" si="136"/>
        <v>13</v>
      </c>
      <c r="CT45" s="2" t="str">
        <f t="shared" si="86"/>
        <v>初任</v>
      </c>
      <c r="CU45" s="382">
        <f t="shared" si="87"/>
        <v>48195</v>
      </c>
      <c r="CV45" s="2">
        <f t="shared" si="88"/>
        <v>12</v>
      </c>
      <c r="CW45" s="2" t="str">
        <f t="shared" si="89"/>
        <v>生日</v>
      </c>
      <c r="CX45" s="382">
        <f t="shared" si="90"/>
        <v>48199</v>
      </c>
      <c r="CY45" s="2">
        <f t="shared" si="91"/>
        <v>12</v>
      </c>
      <c r="CZ45" s="2">
        <f t="shared" si="22"/>
        <v>0</v>
      </c>
      <c r="DA45" s="2">
        <f t="shared" si="92"/>
      </c>
      <c r="DB45" s="2">
        <f t="shared" si="23"/>
      </c>
      <c r="DC45" s="2">
        <f t="shared" si="93"/>
      </c>
      <c r="DD45" s="2">
        <f t="shared" si="94"/>
      </c>
      <c r="DE45" s="2">
        <f t="shared" si="95"/>
      </c>
      <c r="DF45" s="2">
        <f t="shared" si="24"/>
      </c>
      <c r="DG45" s="129">
        <f t="shared" si="25"/>
      </c>
      <c r="DH45" s="2">
        <f t="shared" si="26"/>
      </c>
      <c r="DI45" s="2">
        <f t="shared" si="96"/>
      </c>
      <c r="DJ45" s="129">
        <f t="shared" si="97"/>
      </c>
      <c r="DK45" s="2">
        <f t="shared" si="27"/>
      </c>
      <c r="DL45" s="2">
        <f t="shared" si="98"/>
      </c>
      <c r="DM45" s="129">
        <f t="shared" si="99"/>
      </c>
      <c r="DN45" s="2">
        <f t="shared" si="28"/>
      </c>
      <c r="DO45" s="2">
        <f t="shared" si="29"/>
      </c>
      <c r="DP45" s="129">
        <f t="shared" si="100"/>
      </c>
      <c r="DQ45" s="2">
        <f t="shared" si="30"/>
      </c>
      <c r="DR45" s="2">
        <f t="shared" si="31"/>
      </c>
      <c r="DS45" s="129">
        <f t="shared" si="101"/>
      </c>
      <c r="DT45" s="2">
        <f t="shared" si="32"/>
      </c>
      <c r="DU45" s="2">
        <f t="shared" si="33"/>
      </c>
      <c r="DV45" s="129">
        <f t="shared" si="102"/>
      </c>
      <c r="DW45" s="2">
        <f t="shared" si="103"/>
      </c>
      <c r="DX45" s="2">
        <f t="shared" si="104"/>
      </c>
      <c r="DY45" s="129">
        <f t="shared" si="105"/>
      </c>
      <c r="DZ45" s="129"/>
      <c r="EA45" s="21">
        <f t="shared" si="106"/>
      </c>
      <c r="EB45" s="382">
        <f t="shared" si="107"/>
        <v>401769</v>
      </c>
      <c r="EC45" s="382">
        <f t="shared" si="108"/>
        <v>401769</v>
      </c>
      <c r="ED45" s="2">
        <f t="shared" si="109"/>
      </c>
      <c r="EE45" s="382">
        <f t="shared" si="110"/>
        <v>401769</v>
      </c>
      <c r="EF45" s="382">
        <f t="shared" si="111"/>
        <v>401769</v>
      </c>
      <c r="EG45" s="382">
        <f t="shared" si="112"/>
        <v>401769</v>
      </c>
      <c r="EH45" s="382"/>
      <c r="EI45" s="382">
        <f t="shared" si="113"/>
        <v>401769</v>
      </c>
      <c r="EJ45" s="208">
        <f t="shared" si="34"/>
        <v>401769</v>
      </c>
      <c r="EK45" s="2">
        <f t="shared" si="114"/>
      </c>
      <c r="EL45" s="2">
        <f t="shared" si="35"/>
      </c>
      <c r="EM45" s="34"/>
      <c r="EN45" s="7">
        <f t="shared" si="36"/>
        <v>0</v>
      </c>
      <c r="EO45" s="124">
        <f t="shared" si="37"/>
        <v>0</v>
      </c>
      <c r="EP45" s="214">
        <f t="shared" si="38"/>
      </c>
      <c r="EQ45" s="213" t="str">
        <f t="shared" si="39"/>
        <v>●</v>
      </c>
      <c r="ER45" s="213" t="e">
        <f t="shared" si="40"/>
        <v>#VALUE!</v>
      </c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2">
        <f t="shared" si="41"/>
        <v>65</v>
      </c>
      <c r="FD45" s="20"/>
      <c r="FE45" s="20">
        <f t="shared" si="115"/>
        <v>120</v>
      </c>
      <c r="FF45" s="2">
        <f t="shared" si="116"/>
        <v>0</v>
      </c>
      <c r="FG45" s="2">
        <f t="shared" si="117"/>
        <v>0</v>
      </c>
      <c r="FH45" s="2">
        <f t="shared" si="118"/>
        <v>0</v>
      </c>
      <c r="FI45" s="2">
        <f t="shared" si="119"/>
        <v>0</v>
      </c>
      <c r="FJ45" s="20"/>
      <c r="FK45" s="326">
        <f t="shared" si="120"/>
        <v>0</v>
      </c>
      <c r="FL45" s="326">
        <f t="shared" si="121"/>
        <v>0</v>
      </c>
      <c r="FM45" s="326">
        <f t="shared" si="122"/>
        <v>0</v>
      </c>
      <c r="FN45" s="326">
        <f t="shared" si="123"/>
        <v>0</v>
      </c>
      <c r="FP45" s="326">
        <f t="shared" si="124"/>
      </c>
      <c r="FQ45" s="326">
        <f t="shared" si="125"/>
      </c>
      <c r="FR45" s="326">
        <f t="shared" si="126"/>
      </c>
      <c r="FS45" s="326">
        <f t="shared" si="127"/>
      </c>
      <c r="GF45" s="2">
        <v>65</v>
      </c>
      <c r="GG45" s="2">
        <f t="shared" si="128"/>
        <v>0</v>
      </c>
      <c r="GH45" s="2">
        <f t="shared" si="129"/>
      </c>
      <c r="GI45" s="20">
        <f t="shared" si="130"/>
      </c>
      <c r="GJ45" s="20">
        <f t="shared" si="42"/>
      </c>
      <c r="GK45" s="20">
        <f t="shared" si="131"/>
      </c>
    </row>
    <row r="46" spans="1:193" s="29" customFormat="1" ht="15" customHeight="1">
      <c r="A46" s="144"/>
      <c r="B46" s="150">
        <f t="shared" si="132"/>
        <v>121</v>
      </c>
      <c r="C46" s="26">
        <f t="shared" si="43"/>
        <v>20321231</v>
      </c>
      <c r="D46" s="26" t="str">
        <f t="shared" si="44"/>
        <v>2032</v>
      </c>
      <c r="E46" s="26" t="str">
        <f t="shared" si="45"/>
        <v>12</v>
      </c>
      <c r="F46" s="26" t="str">
        <f t="shared" si="46"/>
        <v>31</v>
      </c>
      <c r="G46" s="26" t="str">
        <f t="shared" si="47"/>
        <v>2032/12/31</v>
      </c>
      <c r="H46" s="117">
        <f t="shared" si="0"/>
        <v>39</v>
      </c>
      <c r="I46" s="117">
        <f t="shared" si="48"/>
        <v>0</v>
      </c>
      <c r="J46" s="26">
        <f t="shared" si="137"/>
        <v>18</v>
      </c>
      <c r="K46" s="118">
        <f t="shared" si="1"/>
        <v>39</v>
      </c>
      <c r="L46" s="118">
        <f t="shared" si="2"/>
        <v>0</v>
      </c>
      <c r="M46" s="118">
        <f t="shared" si="3"/>
        <v>18</v>
      </c>
      <c r="N46" s="606" t="str">
        <f t="shared" si="133"/>
        <v>121.1.1~121.12.31</v>
      </c>
      <c r="O46" s="607"/>
      <c r="P46" s="607"/>
      <c r="Q46" s="608"/>
      <c r="R46" s="300" t="str">
        <f t="shared" si="134"/>
        <v>65</v>
      </c>
      <c r="S46" s="338">
        <f t="shared" si="49"/>
        <v>59</v>
      </c>
      <c r="T46" s="339">
        <f t="shared" si="50"/>
        <v>39</v>
      </c>
      <c r="U46" s="204">
        <f t="shared" si="51"/>
        <v>98</v>
      </c>
      <c r="V46" s="341">
        <v>65</v>
      </c>
      <c r="W46" s="429">
        <f t="shared" si="52"/>
      </c>
      <c r="X46" s="430"/>
      <c r="Y46" s="431"/>
      <c r="Z46" s="230">
        <f t="shared" si="53"/>
      </c>
      <c r="AA46" s="220" t="str">
        <f t="shared" si="54"/>
        <v>○</v>
      </c>
      <c r="AB46" s="393" t="str">
        <f t="shared" si="55"/>
        <v>○</v>
      </c>
      <c r="AC46" s="393" t="str">
        <f t="shared" si="56"/>
        <v>○</v>
      </c>
      <c r="AD46" s="220" t="str">
        <f t="shared" si="57"/>
        <v>○</v>
      </c>
      <c r="AE46" s="220" t="str">
        <f t="shared" si="58"/>
        <v>○</v>
      </c>
      <c r="AF46" s="231" t="str">
        <f t="shared" si="59"/>
        <v>●</v>
      </c>
      <c r="AG46" s="310">
        <f t="shared" si="60"/>
      </c>
      <c r="AH46" s="228">
        <f t="shared" si="61"/>
      </c>
      <c r="AI46" s="321">
        <f t="shared" si="62"/>
      </c>
      <c r="AJ46" s="321">
        <f t="shared" si="63"/>
      </c>
      <c r="AK46" s="321">
        <f t="shared" si="64"/>
      </c>
      <c r="AL46" s="321">
        <f t="shared" si="65"/>
      </c>
      <c r="AM46" s="282">
        <f t="shared" si="66"/>
      </c>
      <c r="AN46" s="103"/>
      <c r="AO46" s="119">
        <f t="shared" si="4"/>
        <v>0</v>
      </c>
      <c r="AP46" s="119">
        <f t="shared" si="67"/>
        <v>0</v>
      </c>
      <c r="AQ46" s="119">
        <f t="shared" si="68"/>
        <v>0</v>
      </c>
      <c r="AR46" s="119">
        <f>IF(OR(AO46+AP46+AQ46+GG46&gt;0,SUM($AO$30:AQ45)+GG45&gt;0),1,0)</f>
        <v>0</v>
      </c>
      <c r="AS46" s="119">
        <f t="shared" si="5"/>
      </c>
      <c r="AT46" s="119">
        <f t="shared" si="69"/>
      </c>
      <c r="AU46" s="119">
        <f t="shared" si="70"/>
      </c>
      <c r="AV46" s="380">
        <f t="shared" si="71"/>
      </c>
      <c r="AW46" s="120">
        <f t="shared" si="6"/>
        <v>0</v>
      </c>
      <c r="AX46" s="120">
        <f t="shared" si="7"/>
        <v>0</v>
      </c>
      <c r="AY46" s="120">
        <f t="shared" si="72"/>
      </c>
      <c r="AZ46" s="120">
        <f t="shared" si="8"/>
        <v>59</v>
      </c>
      <c r="BA46" s="120">
        <f t="shared" si="9"/>
        <v>20321231</v>
      </c>
      <c r="BB46" s="120" t="str">
        <f t="shared" si="10"/>
        <v>121.1.1~121.12.31</v>
      </c>
      <c r="BC46" s="121">
        <f t="shared" si="73"/>
      </c>
      <c r="BD46" s="122">
        <f t="shared" si="74"/>
      </c>
      <c r="BE46" s="122"/>
      <c r="BF46" s="120"/>
      <c r="BG46" s="123">
        <f t="shared" si="75"/>
      </c>
      <c r="BH46" s="31">
        <f t="shared" si="76"/>
        <v>1</v>
      </c>
      <c r="BI46" s="7">
        <f t="shared" si="77"/>
        <v>0</v>
      </c>
      <c r="BJ46" s="7">
        <f t="shared" si="78"/>
        <v>0</v>
      </c>
      <c r="BK46" s="124">
        <f t="shared" si="11"/>
        <v>0</v>
      </c>
      <c r="BL46" s="124">
        <f t="shared" si="79"/>
      </c>
      <c r="BM46" s="124">
        <f t="shared" si="80"/>
        <v>0</v>
      </c>
      <c r="BN46" s="124">
        <f t="shared" si="81"/>
      </c>
      <c r="BO46" s="124">
        <f t="shared" si="82"/>
        <v>0</v>
      </c>
      <c r="BP46" s="124">
        <f t="shared" si="12"/>
      </c>
      <c r="BQ46" s="33"/>
      <c r="BR46" s="33"/>
      <c r="BS46" s="33"/>
      <c r="BT46" s="33"/>
      <c r="BU46" s="30"/>
      <c r="BV46" s="30"/>
      <c r="BW46" s="30"/>
      <c r="BX46" s="30"/>
      <c r="BY46" s="30"/>
      <c r="BZ46" s="30"/>
      <c r="CA46" s="30"/>
      <c r="CB46" s="125"/>
      <c r="CC46" s="126"/>
      <c r="CD46" s="126"/>
      <c r="CE46" s="127"/>
      <c r="CF46" s="127"/>
      <c r="CG46" s="127"/>
      <c r="CH46" s="128"/>
      <c r="CI46" s="128"/>
      <c r="CJ46" s="128"/>
      <c r="CK46" s="183">
        <f t="shared" si="18"/>
        <v>13</v>
      </c>
      <c r="CL46" s="7">
        <f t="shared" si="19"/>
        <v>12</v>
      </c>
      <c r="CM46" s="20">
        <f t="shared" si="20"/>
        <v>121</v>
      </c>
      <c r="CN46" s="382">
        <f t="shared" si="83"/>
        <v>48565</v>
      </c>
      <c r="CO46" s="185">
        <f t="shared" si="84"/>
        <v>12</v>
      </c>
      <c r="CP46" s="2">
        <f aca="true" t="shared" si="138" ref="CP46:CP95">$W$7</f>
        <v>17</v>
      </c>
      <c r="CQ46" s="382">
        <f t="shared" si="85"/>
        <v>48561</v>
      </c>
      <c r="CR46" s="185">
        <f t="shared" si="135"/>
        <v>12</v>
      </c>
      <c r="CS46" s="2">
        <f t="shared" si="136"/>
        <v>13</v>
      </c>
      <c r="CT46" s="2" t="str">
        <f aca="true" t="shared" si="139" ref="CT46:CT95">IF(CO46&gt;CR46,"初任",IF(CO46&lt;CR46,"生日",IF(CP46&gt;CS46,"初任","生日")))</f>
        <v>初任</v>
      </c>
      <c r="CU46" s="382">
        <f t="shared" si="87"/>
        <v>48561</v>
      </c>
      <c r="CV46" s="2">
        <f aca="true" t="shared" si="140" ref="CV46:CV95">IF(CT46="生日",CO46,CR46)</f>
        <v>12</v>
      </c>
      <c r="CW46" s="2" t="str">
        <f aca="true" t="shared" si="141" ref="CW46:CW95">IF(CO46&gt;CR46,"生日",IF(CO46&lt;CR46,"初任",IF(CP46&gt;CS46,"生日","初任")))</f>
        <v>生日</v>
      </c>
      <c r="CX46" s="382">
        <f t="shared" si="90"/>
        <v>48565</v>
      </c>
      <c r="CY46" s="2">
        <f aca="true" t="shared" si="142" ref="CY46:CY95">IF(CW46="生日",CO46,CR46)</f>
        <v>12</v>
      </c>
      <c r="CZ46" s="2">
        <f t="shared" si="22"/>
        <v>0</v>
      </c>
      <c r="DA46" s="2">
        <f t="shared" si="92"/>
      </c>
      <c r="DB46" s="2">
        <f t="shared" si="23"/>
      </c>
      <c r="DC46" s="2">
        <f t="shared" si="93"/>
      </c>
      <c r="DD46" s="2">
        <f t="shared" si="94"/>
      </c>
      <c r="DE46" s="2">
        <f t="shared" si="95"/>
      </c>
      <c r="DF46" s="2">
        <f t="shared" si="24"/>
      </c>
      <c r="DG46" s="129">
        <f t="shared" si="25"/>
      </c>
      <c r="DH46" s="2">
        <f t="shared" si="26"/>
      </c>
      <c r="DI46" s="2">
        <f t="shared" si="96"/>
      </c>
      <c r="DJ46" s="129">
        <f t="shared" si="97"/>
      </c>
      <c r="DK46" s="2">
        <f t="shared" si="27"/>
      </c>
      <c r="DL46" s="2">
        <f t="shared" si="98"/>
      </c>
      <c r="DM46" s="129">
        <f t="shared" si="99"/>
      </c>
      <c r="DN46" s="2">
        <f t="shared" si="28"/>
      </c>
      <c r="DO46" s="2">
        <f t="shared" si="29"/>
      </c>
      <c r="DP46" s="129">
        <f t="shared" si="100"/>
      </c>
      <c r="DQ46" s="2">
        <f t="shared" si="30"/>
      </c>
      <c r="DR46" s="2">
        <f t="shared" si="31"/>
      </c>
      <c r="DS46" s="129">
        <f t="shared" si="101"/>
      </c>
      <c r="DT46" s="2">
        <f t="shared" si="32"/>
      </c>
      <c r="DU46" s="2">
        <f t="shared" si="33"/>
      </c>
      <c r="DV46" s="129">
        <f t="shared" si="102"/>
      </c>
      <c r="DW46" s="2">
        <f t="shared" si="103"/>
      </c>
      <c r="DX46" s="2">
        <f t="shared" si="104"/>
      </c>
      <c r="DY46" s="129">
        <f t="shared" si="105"/>
      </c>
      <c r="DZ46" s="129"/>
      <c r="EA46" s="21">
        <f t="shared" si="106"/>
      </c>
      <c r="EB46" s="382">
        <f t="shared" si="107"/>
        <v>401769</v>
      </c>
      <c r="EC46" s="382">
        <f t="shared" si="108"/>
        <v>401769</v>
      </c>
      <c r="ED46" s="2">
        <f t="shared" si="109"/>
      </c>
      <c r="EE46" s="382">
        <f t="shared" si="110"/>
        <v>401769</v>
      </c>
      <c r="EF46" s="382">
        <f t="shared" si="111"/>
        <v>401769</v>
      </c>
      <c r="EG46" s="382">
        <f t="shared" si="112"/>
        <v>401769</v>
      </c>
      <c r="EH46" s="382"/>
      <c r="EI46" s="382">
        <f t="shared" si="113"/>
        <v>401769</v>
      </c>
      <c r="EJ46" s="208">
        <f t="shared" si="34"/>
        <v>401769</v>
      </c>
      <c r="EK46" s="2">
        <f t="shared" si="114"/>
      </c>
      <c r="EL46" s="2">
        <f t="shared" si="35"/>
      </c>
      <c r="EM46" s="34"/>
      <c r="EN46" s="7">
        <f t="shared" si="36"/>
        <v>0</v>
      </c>
      <c r="EO46" s="124">
        <f t="shared" si="37"/>
        <v>0</v>
      </c>
      <c r="EP46" s="214">
        <f t="shared" si="38"/>
      </c>
      <c r="EQ46" s="213" t="str">
        <f t="shared" si="39"/>
        <v>●</v>
      </c>
      <c r="ER46" s="213" t="e">
        <f t="shared" si="40"/>
        <v>#VALUE!</v>
      </c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2">
        <f t="shared" si="41"/>
        <v>65</v>
      </c>
      <c r="FD46" s="20"/>
      <c r="FE46" s="20">
        <f t="shared" si="115"/>
        <v>121</v>
      </c>
      <c r="FF46" s="2">
        <f t="shared" si="116"/>
        <v>0</v>
      </c>
      <c r="FG46" s="2">
        <f t="shared" si="117"/>
        <v>0</v>
      </c>
      <c r="FH46" s="2">
        <f t="shared" si="118"/>
        <v>0</v>
      </c>
      <c r="FI46" s="2">
        <f t="shared" si="119"/>
        <v>0</v>
      </c>
      <c r="FJ46" s="20"/>
      <c r="FK46" s="326">
        <f t="shared" si="120"/>
        <v>0</v>
      </c>
      <c r="FL46" s="326">
        <f t="shared" si="121"/>
        <v>0</v>
      </c>
      <c r="FM46" s="326">
        <f t="shared" si="122"/>
        <v>0</v>
      </c>
      <c r="FN46" s="326">
        <f t="shared" si="123"/>
        <v>0</v>
      </c>
      <c r="FP46" s="326">
        <f t="shared" si="124"/>
      </c>
      <c r="FQ46" s="326">
        <f t="shared" si="125"/>
      </c>
      <c r="FR46" s="326">
        <f t="shared" si="126"/>
      </c>
      <c r="FS46" s="326">
        <f t="shared" si="127"/>
      </c>
      <c r="GF46" s="2">
        <v>65</v>
      </c>
      <c r="GG46" s="2">
        <f t="shared" si="128"/>
        <v>0</v>
      </c>
      <c r="GH46" s="2">
        <f t="shared" si="129"/>
      </c>
      <c r="GI46" s="20">
        <f t="shared" si="130"/>
      </c>
      <c r="GJ46" s="20">
        <f t="shared" si="42"/>
      </c>
      <c r="GK46" s="20">
        <f t="shared" si="131"/>
      </c>
    </row>
    <row r="47" spans="1:193" s="29" customFormat="1" ht="15" customHeight="1">
      <c r="A47" s="144"/>
      <c r="B47" s="150">
        <f t="shared" si="132"/>
        <v>122</v>
      </c>
      <c r="C47" s="26">
        <f t="shared" si="43"/>
        <v>20331231</v>
      </c>
      <c r="D47" s="26" t="str">
        <f t="shared" si="44"/>
        <v>2033</v>
      </c>
      <c r="E47" s="26" t="str">
        <f t="shared" si="45"/>
        <v>12</v>
      </c>
      <c r="F47" s="26" t="str">
        <f t="shared" si="46"/>
        <v>31</v>
      </c>
      <c r="G47" s="26" t="str">
        <f t="shared" si="47"/>
        <v>2033/12/31</v>
      </c>
      <c r="H47" s="117">
        <f t="shared" si="0"/>
        <v>40</v>
      </c>
      <c r="I47" s="117">
        <f t="shared" si="48"/>
        <v>0</v>
      </c>
      <c r="J47" s="26">
        <f t="shared" si="137"/>
        <v>18</v>
      </c>
      <c r="K47" s="118">
        <f t="shared" si="1"/>
        <v>40</v>
      </c>
      <c r="L47" s="118">
        <f t="shared" si="2"/>
        <v>0</v>
      </c>
      <c r="M47" s="118">
        <f t="shared" si="3"/>
        <v>18</v>
      </c>
      <c r="N47" s="606" t="str">
        <f t="shared" si="133"/>
        <v>122.1.1~122.12.31</v>
      </c>
      <c r="O47" s="607"/>
      <c r="P47" s="607"/>
      <c r="Q47" s="608"/>
      <c r="R47" s="300" t="str">
        <f t="shared" si="134"/>
        <v>65</v>
      </c>
      <c r="S47" s="338">
        <f t="shared" si="49"/>
        <v>60</v>
      </c>
      <c r="T47" s="339">
        <f t="shared" si="50"/>
        <v>40</v>
      </c>
      <c r="U47" s="204">
        <f t="shared" si="51"/>
        <v>100</v>
      </c>
      <c r="V47" s="341">
        <v>65</v>
      </c>
      <c r="W47" s="429">
        <f t="shared" si="52"/>
      </c>
      <c r="X47" s="430"/>
      <c r="Y47" s="431"/>
      <c r="Z47" s="230">
        <f t="shared" si="53"/>
      </c>
      <c r="AA47" s="220" t="str">
        <f t="shared" si="54"/>
        <v>○</v>
      </c>
      <c r="AB47" s="393" t="str">
        <f t="shared" si="55"/>
        <v>○</v>
      </c>
      <c r="AC47" s="393" t="str">
        <f t="shared" si="56"/>
        <v>○</v>
      </c>
      <c r="AD47" s="220" t="str">
        <f t="shared" si="57"/>
        <v>○</v>
      </c>
      <c r="AE47" s="220" t="str">
        <f t="shared" si="58"/>
        <v>○</v>
      </c>
      <c r="AF47" s="231" t="str">
        <f t="shared" si="59"/>
        <v>●</v>
      </c>
      <c r="AG47" s="310">
        <f t="shared" si="60"/>
      </c>
      <c r="AH47" s="228" t="str">
        <f t="shared" si="61"/>
        <v>★</v>
      </c>
      <c r="AI47" s="321">
        <f t="shared" si="62"/>
      </c>
      <c r="AJ47" s="321">
        <f t="shared" si="63"/>
      </c>
      <c r="AK47" s="321">
        <f t="shared" si="64"/>
      </c>
      <c r="AL47" s="321">
        <f t="shared" si="65"/>
      </c>
      <c r="AM47" s="282">
        <f t="shared" si="66"/>
        <v>-0.2</v>
      </c>
      <c r="AN47" s="103"/>
      <c r="AO47" s="119">
        <f t="shared" si="4"/>
        <v>0</v>
      </c>
      <c r="AP47" s="119">
        <f t="shared" si="67"/>
        <v>0</v>
      </c>
      <c r="AQ47" s="119">
        <f t="shared" si="68"/>
        <v>0</v>
      </c>
      <c r="AR47" s="119">
        <f>IF(OR(AO47+AP47+AQ47+GG47&gt;0,SUM($AO$30:AQ46)+GG46&gt;0),1,0)</f>
        <v>0</v>
      </c>
      <c r="AS47" s="119">
        <f t="shared" si="5"/>
      </c>
      <c r="AT47" s="119">
        <f t="shared" si="69"/>
      </c>
      <c r="AU47" s="119">
        <f t="shared" si="70"/>
      </c>
      <c r="AV47" s="380">
        <f t="shared" si="71"/>
      </c>
      <c r="AW47" s="120">
        <f t="shared" si="6"/>
        <v>0</v>
      </c>
      <c r="AX47" s="120">
        <f t="shared" si="7"/>
        <v>0</v>
      </c>
      <c r="AY47" s="120">
        <f t="shared" si="72"/>
      </c>
      <c r="AZ47" s="120">
        <f t="shared" si="8"/>
        <v>60</v>
      </c>
      <c r="BA47" s="120">
        <f t="shared" si="9"/>
        <v>20331231</v>
      </c>
      <c r="BB47" s="120" t="str">
        <f t="shared" si="10"/>
        <v>122.1.1~122.12.31</v>
      </c>
      <c r="BC47" s="121">
        <f t="shared" si="73"/>
      </c>
      <c r="BD47" s="122">
        <f t="shared" si="74"/>
      </c>
      <c r="BE47" s="122"/>
      <c r="BF47" s="120"/>
      <c r="BG47" s="123">
        <f t="shared" si="75"/>
      </c>
      <c r="BH47" s="31">
        <f t="shared" si="76"/>
        <v>1</v>
      </c>
      <c r="BI47" s="7">
        <f t="shared" si="77"/>
        <v>1</v>
      </c>
      <c r="BJ47" s="7">
        <f t="shared" si="78"/>
        <v>5</v>
      </c>
      <c r="BK47" s="124">
        <f t="shared" si="11"/>
        <v>0</v>
      </c>
      <c r="BL47" s="124">
        <f t="shared" si="79"/>
      </c>
      <c r="BM47" s="124">
        <f t="shared" si="80"/>
        <v>0</v>
      </c>
      <c r="BN47" s="124" t="str">
        <f t="shared" si="81"/>
        <v>●</v>
      </c>
      <c r="BO47" s="124">
        <f t="shared" si="82"/>
        <v>0.2</v>
      </c>
      <c r="BP47" s="124">
        <f t="shared" si="12"/>
        <v>0.2</v>
      </c>
      <c r="BQ47" s="33"/>
      <c r="BR47" s="33"/>
      <c r="BS47" s="33"/>
      <c r="BT47" s="33"/>
      <c r="BU47" s="30"/>
      <c r="BV47" s="30"/>
      <c r="BW47" s="30"/>
      <c r="BX47" s="30"/>
      <c r="BY47" s="30"/>
      <c r="BZ47" s="30"/>
      <c r="CA47" s="30"/>
      <c r="CB47" s="125"/>
      <c r="CC47" s="126"/>
      <c r="CD47" s="126"/>
      <c r="CE47" s="127"/>
      <c r="CF47" s="127"/>
      <c r="CG47" s="127"/>
      <c r="CH47" s="128"/>
      <c r="CI47" s="128"/>
      <c r="CJ47" s="128"/>
      <c r="CK47" s="183">
        <f t="shared" si="18"/>
        <v>13</v>
      </c>
      <c r="CL47" s="7">
        <f t="shared" si="19"/>
        <v>12</v>
      </c>
      <c r="CM47" s="20">
        <f t="shared" si="20"/>
        <v>122</v>
      </c>
      <c r="CN47" s="382">
        <f t="shared" si="83"/>
        <v>48930</v>
      </c>
      <c r="CO47" s="185">
        <f t="shared" si="84"/>
        <v>12</v>
      </c>
      <c r="CP47" s="2">
        <f t="shared" si="138"/>
        <v>17</v>
      </c>
      <c r="CQ47" s="382">
        <f t="shared" si="85"/>
        <v>48926</v>
      </c>
      <c r="CR47" s="185">
        <f t="shared" si="135"/>
        <v>12</v>
      </c>
      <c r="CS47" s="2">
        <f t="shared" si="136"/>
        <v>13</v>
      </c>
      <c r="CT47" s="2" t="str">
        <f t="shared" si="139"/>
        <v>初任</v>
      </c>
      <c r="CU47" s="382">
        <f t="shared" si="87"/>
        <v>48926</v>
      </c>
      <c r="CV47" s="2">
        <f t="shared" si="140"/>
        <v>12</v>
      </c>
      <c r="CW47" s="2" t="str">
        <f t="shared" si="141"/>
        <v>生日</v>
      </c>
      <c r="CX47" s="382">
        <f t="shared" si="90"/>
        <v>48930</v>
      </c>
      <c r="CY47" s="2">
        <f t="shared" si="142"/>
        <v>12</v>
      </c>
      <c r="CZ47" s="2">
        <f t="shared" si="22"/>
        <v>0</v>
      </c>
      <c r="DA47" s="2">
        <f t="shared" si="92"/>
      </c>
      <c r="DB47" s="2">
        <f t="shared" si="23"/>
      </c>
      <c r="DC47" s="2">
        <f t="shared" si="93"/>
      </c>
      <c r="DD47" s="2">
        <f t="shared" si="94"/>
      </c>
      <c r="DE47" s="2">
        <f t="shared" si="95"/>
      </c>
      <c r="DF47" s="2">
        <f t="shared" si="24"/>
      </c>
      <c r="DG47" s="129">
        <f t="shared" si="25"/>
      </c>
      <c r="DH47" s="2">
        <f t="shared" si="26"/>
      </c>
      <c r="DI47" s="2">
        <f t="shared" si="96"/>
      </c>
      <c r="DJ47" s="129">
        <f t="shared" si="97"/>
      </c>
      <c r="DK47" s="2">
        <f t="shared" si="27"/>
      </c>
      <c r="DL47" s="2">
        <f t="shared" si="98"/>
      </c>
      <c r="DM47" s="129">
        <f t="shared" si="99"/>
      </c>
      <c r="DN47" s="2">
        <f t="shared" si="28"/>
      </c>
      <c r="DO47" s="2">
        <f t="shared" si="29"/>
      </c>
      <c r="DP47" s="129">
        <f t="shared" si="100"/>
      </c>
      <c r="DQ47" s="2">
        <f t="shared" si="30"/>
      </c>
      <c r="DR47" s="2">
        <f t="shared" si="31"/>
      </c>
      <c r="DS47" s="129">
        <f t="shared" si="101"/>
      </c>
      <c r="DT47" s="2">
        <f t="shared" si="32"/>
      </c>
      <c r="DU47" s="2">
        <f t="shared" si="33"/>
      </c>
      <c r="DV47" s="129">
        <f t="shared" si="102"/>
      </c>
      <c r="DW47" s="2">
        <f t="shared" si="103"/>
      </c>
      <c r="DX47" s="2">
        <f t="shared" si="104"/>
      </c>
      <c r="DY47" s="129">
        <f t="shared" si="105"/>
      </c>
      <c r="DZ47" s="129"/>
      <c r="EA47" s="21">
        <f t="shared" si="106"/>
      </c>
      <c r="EB47" s="382">
        <f t="shared" si="107"/>
        <v>401769</v>
      </c>
      <c r="EC47" s="382">
        <f t="shared" si="108"/>
        <v>401769</v>
      </c>
      <c r="ED47" s="2">
        <f t="shared" si="109"/>
      </c>
      <c r="EE47" s="382">
        <f t="shared" si="110"/>
        <v>401769</v>
      </c>
      <c r="EF47" s="382">
        <f t="shared" si="111"/>
        <v>401769</v>
      </c>
      <c r="EG47" s="382">
        <f t="shared" si="112"/>
        <v>401769</v>
      </c>
      <c r="EH47" s="382"/>
      <c r="EI47" s="382">
        <f t="shared" si="113"/>
        <v>401769</v>
      </c>
      <c r="EJ47" s="208">
        <f t="shared" si="34"/>
        <v>401769</v>
      </c>
      <c r="EK47" s="2">
        <f t="shared" si="114"/>
      </c>
      <c r="EL47" s="2">
        <f t="shared" si="35"/>
      </c>
      <c r="EM47" s="34"/>
      <c r="EN47" s="7">
        <f t="shared" si="36"/>
        <v>0</v>
      </c>
      <c r="EO47" s="124">
        <f t="shared" si="37"/>
        <v>0.2</v>
      </c>
      <c r="EP47" s="214" t="str">
        <f t="shared" si="38"/>
        <v>●</v>
      </c>
      <c r="EQ47" s="213" t="str">
        <f t="shared" si="39"/>
        <v>●</v>
      </c>
      <c r="ER47" s="213">
        <f t="shared" si="40"/>
        <v>-0.2</v>
      </c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2">
        <f t="shared" si="41"/>
        <v>65</v>
      </c>
      <c r="FD47" s="20"/>
      <c r="FE47" s="20">
        <f t="shared" si="115"/>
        <v>122</v>
      </c>
      <c r="FF47" s="2">
        <f t="shared" si="116"/>
        <v>0</v>
      </c>
      <c r="FG47" s="2">
        <f t="shared" si="117"/>
        <v>0</v>
      </c>
      <c r="FH47" s="2">
        <f t="shared" si="118"/>
        <v>0</v>
      </c>
      <c r="FI47" s="2">
        <f t="shared" si="119"/>
        <v>0</v>
      </c>
      <c r="FJ47" s="20"/>
      <c r="FK47" s="326">
        <f t="shared" si="120"/>
        <v>0</v>
      </c>
      <c r="FL47" s="326">
        <f t="shared" si="121"/>
        <v>0</v>
      </c>
      <c r="FM47" s="326">
        <f t="shared" si="122"/>
        <v>0</v>
      </c>
      <c r="FN47" s="326">
        <f t="shared" si="123"/>
        <v>0</v>
      </c>
      <c r="FP47" s="326">
        <f t="shared" si="124"/>
      </c>
      <c r="FQ47" s="326">
        <f t="shared" si="125"/>
      </c>
      <c r="FR47" s="326">
        <f t="shared" si="126"/>
      </c>
      <c r="FS47" s="326">
        <f t="shared" si="127"/>
      </c>
      <c r="GF47" s="2">
        <v>65</v>
      </c>
      <c r="GG47" s="2">
        <f t="shared" si="128"/>
        <v>0</v>
      </c>
      <c r="GH47" s="2">
        <f t="shared" si="129"/>
      </c>
      <c r="GI47" s="20">
        <f t="shared" si="130"/>
      </c>
      <c r="GJ47" s="20">
        <f t="shared" si="42"/>
      </c>
      <c r="GK47" s="20">
        <f t="shared" si="131"/>
      </c>
    </row>
    <row r="48" spans="1:193" s="29" customFormat="1" ht="15" customHeight="1">
      <c r="A48" s="144"/>
      <c r="B48" s="150">
        <f t="shared" si="132"/>
        <v>123</v>
      </c>
      <c r="C48" s="26">
        <f t="shared" si="43"/>
        <v>20341231</v>
      </c>
      <c r="D48" s="26" t="str">
        <f t="shared" si="44"/>
        <v>2034</v>
      </c>
      <c r="E48" s="26" t="str">
        <f t="shared" si="45"/>
        <v>12</v>
      </c>
      <c r="F48" s="26" t="str">
        <f t="shared" si="46"/>
        <v>31</v>
      </c>
      <c r="G48" s="26" t="str">
        <f t="shared" si="47"/>
        <v>2034/12/31</v>
      </c>
      <c r="H48" s="117">
        <f t="shared" si="0"/>
        <v>41</v>
      </c>
      <c r="I48" s="117">
        <f t="shared" si="48"/>
        <v>0</v>
      </c>
      <c r="J48" s="26">
        <f t="shared" si="137"/>
        <v>18</v>
      </c>
      <c r="K48" s="118">
        <f t="shared" si="1"/>
        <v>41</v>
      </c>
      <c r="L48" s="118">
        <f t="shared" si="2"/>
        <v>0</v>
      </c>
      <c r="M48" s="118">
        <f t="shared" si="3"/>
        <v>18</v>
      </c>
      <c r="N48" s="606" t="str">
        <f t="shared" si="133"/>
        <v>123.1.1~123.12.31</v>
      </c>
      <c r="O48" s="607"/>
      <c r="P48" s="607"/>
      <c r="Q48" s="608"/>
      <c r="R48" s="300" t="str">
        <f t="shared" si="134"/>
        <v>65</v>
      </c>
      <c r="S48" s="338">
        <f t="shared" si="49"/>
        <v>61</v>
      </c>
      <c r="T48" s="339">
        <f t="shared" si="50"/>
        <v>41</v>
      </c>
      <c r="U48" s="204">
        <f t="shared" si="51"/>
        <v>102</v>
      </c>
      <c r="V48" s="341">
        <v>65</v>
      </c>
      <c r="W48" s="429">
        <f t="shared" si="52"/>
      </c>
      <c r="X48" s="430"/>
      <c r="Y48" s="431"/>
      <c r="Z48" s="230">
        <f t="shared" si="53"/>
      </c>
      <c r="AA48" s="220">
        <f t="shared" si="54"/>
      </c>
      <c r="AB48" s="393" t="str">
        <f t="shared" si="55"/>
        <v>○</v>
      </c>
      <c r="AC48" s="393" t="str">
        <f t="shared" si="56"/>
        <v>○</v>
      </c>
      <c r="AD48" s="220" t="str">
        <f t="shared" si="57"/>
        <v>○</v>
      </c>
      <c r="AE48" s="220" t="str">
        <f t="shared" si="58"/>
        <v>○</v>
      </c>
      <c r="AF48" s="231" t="str">
        <f t="shared" si="59"/>
        <v>●</v>
      </c>
      <c r="AG48" s="310">
        <f t="shared" si="60"/>
      </c>
      <c r="AH48" s="228">
        <f t="shared" si="61"/>
      </c>
      <c r="AI48" s="321" t="str">
        <f t="shared" si="62"/>
        <v>★</v>
      </c>
      <c r="AJ48" s="321">
        <f t="shared" si="63"/>
      </c>
      <c r="AK48" s="321">
        <f t="shared" si="64"/>
      </c>
      <c r="AL48" s="321">
        <f t="shared" si="65"/>
      </c>
      <c r="AM48" s="282">
        <f t="shared" si="66"/>
        <v>-0.16</v>
      </c>
      <c r="AN48" s="103"/>
      <c r="AO48" s="119">
        <f t="shared" si="4"/>
        <v>0</v>
      </c>
      <c r="AP48" s="119">
        <f t="shared" si="67"/>
        <v>0</v>
      </c>
      <c r="AQ48" s="119">
        <f t="shared" si="68"/>
        <v>0</v>
      </c>
      <c r="AR48" s="119">
        <f>IF(OR(AO48+AP48+AQ48+GG48&gt;0,SUM($AO$30:AQ47)+GG47&gt;0),1,0)</f>
        <v>0</v>
      </c>
      <c r="AS48" s="119">
        <f t="shared" si="5"/>
      </c>
      <c r="AT48" s="119">
        <f t="shared" si="69"/>
      </c>
      <c r="AU48" s="119">
        <f t="shared" si="70"/>
      </c>
      <c r="AV48" s="380">
        <f t="shared" si="71"/>
      </c>
      <c r="AW48" s="120">
        <f t="shared" si="6"/>
        <v>0</v>
      </c>
      <c r="AX48" s="120">
        <f t="shared" si="7"/>
        <v>0</v>
      </c>
      <c r="AY48" s="120">
        <f t="shared" si="72"/>
      </c>
      <c r="AZ48" s="120">
        <f t="shared" si="8"/>
        <v>61</v>
      </c>
      <c r="BA48" s="120">
        <f t="shared" si="9"/>
        <v>20341231</v>
      </c>
      <c r="BB48" s="120" t="str">
        <f t="shared" si="10"/>
        <v>123.1.1~123.12.31</v>
      </c>
      <c r="BC48" s="121">
        <f t="shared" si="73"/>
      </c>
      <c r="BD48" s="122">
        <f t="shared" si="74"/>
      </c>
      <c r="BE48" s="122"/>
      <c r="BF48" s="120"/>
      <c r="BG48" s="123">
        <f t="shared" si="75"/>
      </c>
      <c r="BH48" s="31">
        <f t="shared" si="76"/>
        <v>1</v>
      </c>
      <c r="BI48" s="7">
        <f t="shared" si="77"/>
        <v>1</v>
      </c>
      <c r="BJ48" s="7">
        <f t="shared" si="78"/>
        <v>4</v>
      </c>
      <c r="BK48" s="124">
        <f t="shared" si="11"/>
        <v>0</v>
      </c>
      <c r="BL48" s="124">
        <f t="shared" si="79"/>
      </c>
      <c r="BM48" s="124">
        <f t="shared" si="80"/>
        <v>0</v>
      </c>
      <c r="BN48" s="124">
        <f t="shared" si="81"/>
      </c>
      <c r="BO48" s="124">
        <f t="shared" si="82"/>
        <v>0.16</v>
      </c>
      <c r="BP48" s="124">
        <f t="shared" si="12"/>
        <v>0.16</v>
      </c>
      <c r="BQ48" s="33"/>
      <c r="BR48" s="33"/>
      <c r="BS48" s="33"/>
      <c r="BT48" s="33"/>
      <c r="BU48" s="30"/>
      <c r="BV48" s="30"/>
      <c r="BW48" s="30"/>
      <c r="BX48" s="30"/>
      <c r="BY48" s="30"/>
      <c r="BZ48" s="30"/>
      <c r="CA48" s="30"/>
      <c r="CB48" s="125"/>
      <c r="CC48" s="126"/>
      <c r="CD48" s="126"/>
      <c r="CE48" s="127"/>
      <c r="CF48" s="127"/>
      <c r="CG48" s="127"/>
      <c r="CH48" s="128"/>
      <c r="CI48" s="128"/>
      <c r="CJ48" s="128"/>
      <c r="CK48" s="183">
        <f t="shared" si="18"/>
        <v>13</v>
      </c>
      <c r="CL48" s="7">
        <f t="shared" si="19"/>
        <v>12</v>
      </c>
      <c r="CM48" s="20">
        <f t="shared" si="20"/>
        <v>123</v>
      </c>
      <c r="CN48" s="382">
        <f t="shared" si="83"/>
        <v>49295</v>
      </c>
      <c r="CO48" s="185">
        <f t="shared" si="84"/>
        <v>12</v>
      </c>
      <c r="CP48" s="2">
        <f t="shared" si="138"/>
        <v>17</v>
      </c>
      <c r="CQ48" s="382">
        <f t="shared" si="85"/>
        <v>49291</v>
      </c>
      <c r="CR48" s="185">
        <f t="shared" si="135"/>
        <v>12</v>
      </c>
      <c r="CS48" s="2">
        <f t="shared" si="136"/>
        <v>13</v>
      </c>
      <c r="CT48" s="2" t="str">
        <f t="shared" si="139"/>
        <v>初任</v>
      </c>
      <c r="CU48" s="382">
        <f t="shared" si="87"/>
        <v>49291</v>
      </c>
      <c r="CV48" s="2">
        <f t="shared" si="140"/>
        <v>12</v>
      </c>
      <c r="CW48" s="2" t="str">
        <f t="shared" si="141"/>
        <v>生日</v>
      </c>
      <c r="CX48" s="382">
        <f t="shared" si="90"/>
        <v>49295</v>
      </c>
      <c r="CY48" s="2">
        <f t="shared" si="142"/>
        <v>12</v>
      </c>
      <c r="CZ48" s="2">
        <f t="shared" si="22"/>
        <v>0</v>
      </c>
      <c r="DA48" s="2">
        <f t="shared" si="92"/>
      </c>
      <c r="DB48" s="2">
        <f t="shared" si="23"/>
      </c>
      <c r="DC48" s="2">
        <f t="shared" si="93"/>
      </c>
      <c r="DD48" s="2">
        <f t="shared" si="94"/>
      </c>
      <c r="DE48" s="2">
        <f t="shared" si="95"/>
      </c>
      <c r="DF48" s="2">
        <f t="shared" si="24"/>
      </c>
      <c r="DG48" s="129">
        <f t="shared" si="25"/>
      </c>
      <c r="DH48" s="2">
        <f t="shared" si="26"/>
      </c>
      <c r="DI48" s="2">
        <f t="shared" si="96"/>
      </c>
      <c r="DJ48" s="129">
        <f t="shared" si="97"/>
      </c>
      <c r="DK48" s="2">
        <f t="shared" si="27"/>
      </c>
      <c r="DL48" s="2">
        <f t="shared" si="98"/>
      </c>
      <c r="DM48" s="129">
        <f t="shared" si="99"/>
      </c>
      <c r="DN48" s="2">
        <f t="shared" si="28"/>
      </c>
      <c r="DO48" s="2">
        <f t="shared" si="29"/>
      </c>
      <c r="DP48" s="129">
        <f t="shared" si="100"/>
      </c>
      <c r="DQ48" s="2">
        <f t="shared" si="30"/>
      </c>
      <c r="DR48" s="2">
        <f t="shared" si="31"/>
      </c>
      <c r="DS48" s="129">
        <f t="shared" si="101"/>
      </c>
      <c r="DT48" s="2">
        <f t="shared" si="32"/>
      </c>
      <c r="DU48" s="2">
        <f t="shared" si="33"/>
      </c>
      <c r="DV48" s="129">
        <f t="shared" si="102"/>
      </c>
      <c r="DW48" s="2">
        <f t="shared" si="103"/>
      </c>
      <c r="DX48" s="2">
        <f t="shared" si="104"/>
      </c>
      <c r="DY48" s="129">
        <f t="shared" si="105"/>
      </c>
      <c r="DZ48" s="129"/>
      <c r="EA48" s="21">
        <f t="shared" si="106"/>
      </c>
      <c r="EB48" s="382">
        <f t="shared" si="107"/>
        <v>401769</v>
      </c>
      <c r="EC48" s="382">
        <f t="shared" si="108"/>
        <v>401769</v>
      </c>
      <c r="ED48" s="2">
        <f t="shared" si="109"/>
      </c>
      <c r="EE48" s="382">
        <f t="shared" si="110"/>
        <v>401769</v>
      </c>
      <c r="EF48" s="382">
        <f t="shared" si="111"/>
        <v>401769</v>
      </c>
      <c r="EG48" s="382">
        <f t="shared" si="112"/>
        <v>401769</v>
      </c>
      <c r="EH48" s="382"/>
      <c r="EI48" s="382">
        <f t="shared" si="113"/>
        <v>401769</v>
      </c>
      <c r="EJ48" s="208">
        <f t="shared" si="34"/>
        <v>401769</v>
      </c>
      <c r="EK48" s="2">
        <f t="shared" si="114"/>
      </c>
      <c r="EL48" s="2">
        <f t="shared" si="35"/>
      </c>
      <c r="EM48" s="34"/>
      <c r="EN48" s="7">
        <f t="shared" si="36"/>
        <v>0</v>
      </c>
      <c r="EO48" s="124">
        <f t="shared" si="37"/>
        <v>0.16</v>
      </c>
      <c r="EP48" s="214" t="str">
        <f t="shared" si="38"/>
        <v>●</v>
      </c>
      <c r="EQ48" s="213" t="str">
        <f t="shared" si="39"/>
        <v>●</v>
      </c>
      <c r="ER48" s="213">
        <f t="shared" si="40"/>
        <v>-0.16</v>
      </c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2">
        <f t="shared" si="41"/>
        <v>65</v>
      </c>
      <c r="FD48" s="20"/>
      <c r="FE48" s="20">
        <f t="shared" si="115"/>
        <v>123</v>
      </c>
      <c r="FF48" s="2">
        <f t="shared" si="116"/>
        <v>1</v>
      </c>
      <c r="FG48" s="2">
        <f t="shared" si="117"/>
        <v>0</v>
      </c>
      <c r="FH48" s="2">
        <f t="shared" si="118"/>
        <v>0</v>
      </c>
      <c r="FI48" s="2">
        <f t="shared" si="119"/>
        <v>0</v>
      </c>
      <c r="FJ48" s="20"/>
      <c r="FK48" s="326">
        <f t="shared" si="120"/>
        <v>0</v>
      </c>
      <c r="FL48" s="326">
        <f t="shared" si="121"/>
        <v>0</v>
      </c>
      <c r="FM48" s="326">
        <f t="shared" si="122"/>
        <v>0</v>
      </c>
      <c r="FN48" s="326">
        <f t="shared" si="123"/>
        <v>0</v>
      </c>
      <c r="FP48" s="326" t="str">
        <f t="shared" si="124"/>
        <v>●</v>
      </c>
      <c r="FQ48" s="326">
        <f t="shared" si="125"/>
      </c>
      <c r="FR48" s="326">
        <f t="shared" si="126"/>
      </c>
      <c r="FS48" s="326">
        <f t="shared" si="127"/>
      </c>
      <c r="GF48" s="2">
        <v>65</v>
      </c>
      <c r="GG48" s="2">
        <f t="shared" si="128"/>
        <v>0</v>
      </c>
      <c r="GH48" s="2">
        <f t="shared" si="129"/>
      </c>
      <c r="GI48" s="20">
        <f t="shared" si="130"/>
      </c>
      <c r="GJ48" s="20">
        <f t="shared" si="42"/>
      </c>
      <c r="GK48" s="20">
        <f t="shared" si="131"/>
      </c>
    </row>
    <row r="49" spans="1:193" s="29" customFormat="1" ht="15" customHeight="1">
      <c r="A49" s="144"/>
      <c r="B49" s="150">
        <f t="shared" si="132"/>
        <v>124</v>
      </c>
      <c r="C49" s="26">
        <f t="shared" si="43"/>
        <v>20351231</v>
      </c>
      <c r="D49" s="26" t="str">
        <f t="shared" si="44"/>
        <v>2035</v>
      </c>
      <c r="E49" s="26" t="str">
        <f t="shared" si="45"/>
        <v>12</v>
      </c>
      <c r="F49" s="26" t="str">
        <f t="shared" si="46"/>
        <v>31</v>
      </c>
      <c r="G49" s="26" t="str">
        <f t="shared" si="47"/>
        <v>2035/12/31</v>
      </c>
      <c r="H49" s="117">
        <f t="shared" si="0"/>
        <v>42</v>
      </c>
      <c r="I49" s="117">
        <f t="shared" si="48"/>
        <v>0</v>
      </c>
      <c r="J49" s="26">
        <f t="shared" si="137"/>
        <v>18</v>
      </c>
      <c r="K49" s="118">
        <f t="shared" si="1"/>
        <v>42</v>
      </c>
      <c r="L49" s="118">
        <f t="shared" si="2"/>
        <v>0</v>
      </c>
      <c r="M49" s="118">
        <f t="shared" si="3"/>
        <v>18</v>
      </c>
      <c r="N49" s="606" t="str">
        <f t="shared" si="133"/>
        <v>124.1.1~124.12.31</v>
      </c>
      <c r="O49" s="607"/>
      <c r="P49" s="607"/>
      <c r="Q49" s="608"/>
      <c r="R49" s="300" t="str">
        <f t="shared" si="134"/>
        <v>65</v>
      </c>
      <c r="S49" s="338">
        <f t="shared" si="49"/>
        <v>62</v>
      </c>
      <c r="T49" s="339">
        <f t="shared" si="50"/>
        <v>42</v>
      </c>
      <c r="U49" s="204">
        <f t="shared" si="51"/>
        <v>104</v>
      </c>
      <c r="V49" s="341">
        <v>65</v>
      </c>
      <c r="W49" s="429">
        <f t="shared" si="52"/>
      </c>
      <c r="X49" s="430"/>
      <c r="Y49" s="431"/>
      <c r="Z49" s="230">
        <f t="shared" si="53"/>
      </c>
      <c r="AA49" s="220">
        <f t="shared" si="54"/>
      </c>
      <c r="AB49" s="393">
        <f t="shared" si="55"/>
      </c>
      <c r="AC49" s="393" t="str">
        <f t="shared" si="56"/>
        <v>○</v>
      </c>
      <c r="AD49" s="220" t="str">
        <f t="shared" si="57"/>
        <v>○</v>
      </c>
      <c r="AE49" s="220" t="str">
        <f t="shared" si="58"/>
        <v>○</v>
      </c>
      <c r="AF49" s="231" t="str">
        <f t="shared" si="59"/>
        <v>●</v>
      </c>
      <c r="AG49" s="310">
        <f t="shared" si="60"/>
      </c>
      <c r="AH49" s="228">
        <f t="shared" si="61"/>
      </c>
      <c r="AI49" s="321">
        <f t="shared" si="62"/>
      </c>
      <c r="AJ49" s="321" t="str">
        <f t="shared" si="63"/>
        <v>★</v>
      </c>
      <c r="AK49" s="321">
        <f t="shared" si="64"/>
      </c>
      <c r="AL49" s="321">
        <f t="shared" si="65"/>
      </c>
      <c r="AM49" s="282">
        <f t="shared" si="66"/>
        <v>-0.12</v>
      </c>
      <c r="AN49" s="103"/>
      <c r="AO49" s="119">
        <f t="shared" si="4"/>
        <v>0</v>
      </c>
      <c r="AP49" s="119">
        <f t="shared" si="67"/>
        <v>0</v>
      </c>
      <c r="AQ49" s="119">
        <f t="shared" si="68"/>
        <v>0</v>
      </c>
      <c r="AR49" s="119">
        <f>IF(OR(AO49+AP49+AQ49+GG49&gt;0,SUM($AO$30:AQ48)+GG48&gt;0),1,0)</f>
        <v>0</v>
      </c>
      <c r="AS49" s="119">
        <f t="shared" si="5"/>
      </c>
      <c r="AT49" s="119">
        <f t="shared" si="69"/>
      </c>
      <c r="AU49" s="119">
        <f t="shared" si="70"/>
      </c>
      <c r="AV49" s="380">
        <f t="shared" si="71"/>
      </c>
      <c r="AW49" s="120">
        <f t="shared" si="6"/>
        <v>0</v>
      </c>
      <c r="AX49" s="120">
        <f t="shared" si="7"/>
        <v>0</v>
      </c>
      <c r="AY49" s="120">
        <f t="shared" si="72"/>
      </c>
      <c r="AZ49" s="120">
        <f t="shared" si="8"/>
        <v>62</v>
      </c>
      <c r="BA49" s="120">
        <f t="shared" si="9"/>
        <v>20351231</v>
      </c>
      <c r="BB49" s="120" t="str">
        <f t="shared" si="10"/>
        <v>124.1.1~124.12.31</v>
      </c>
      <c r="BC49" s="121">
        <f t="shared" si="73"/>
      </c>
      <c r="BD49" s="122">
        <f t="shared" si="74"/>
      </c>
      <c r="BE49" s="122"/>
      <c r="BF49" s="120"/>
      <c r="BG49" s="123">
        <f t="shared" si="75"/>
      </c>
      <c r="BH49" s="31">
        <f t="shared" si="76"/>
        <v>1</v>
      </c>
      <c r="BI49" s="7">
        <f t="shared" si="77"/>
        <v>1</v>
      </c>
      <c r="BJ49" s="7">
        <f t="shared" si="78"/>
        <v>3</v>
      </c>
      <c r="BK49" s="124">
        <f t="shared" si="11"/>
        <v>0</v>
      </c>
      <c r="BL49" s="124">
        <f t="shared" si="79"/>
      </c>
      <c r="BM49" s="124">
        <f t="shared" si="80"/>
        <v>0</v>
      </c>
      <c r="BN49" s="124">
        <f t="shared" si="81"/>
      </c>
      <c r="BO49" s="124">
        <f t="shared" si="82"/>
        <v>0.12</v>
      </c>
      <c r="BP49" s="124">
        <f t="shared" si="12"/>
        <v>0.12</v>
      </c>
      <c r="BQ49" s="33"/>
      <c r="BR49" s="33"/>
      <c r="BS49" s="33"/>
      <c r="BT49" s="33"/>
      <c r="BU49" s="30"/>
      <c r="BV49" s="30"/>
      <c r="BW49" s="30"/>
      <c r="BX49" s="30"/>
      <c r="BY49" s="30"/>
      <c r="BZ49" s="30"/>
      <c r="CA49" s="30"/>
      <c r="CB49" s="125"/>
      <c r="CC49" s="126"/>
      <c r="CD49" s="126"/>
      <c r="CE49" s="127"/>
      <c r="CF49" s="127"/>
      <c r="CG49" s="127"/>
      <c r="CH49" s="128"/>
      <c r="CI49" s="128"/>
      <c r="CJ49" s="128"/>
      <c r="CK49" s="183">
        <f t="shared" si="18"/>
        <v>13</v>
      </c>
      <c r="CL49" s="7">
        <f t="shared" si="19"/>
        <v>12</v>
      </c>
      <c r="CM49" s="20">
        <f t="shared" si="20"/>
        <v>124</v>
      </c>
      <c r="CN49" s="382">
        <f t="shared" si="83"/>
        <v>49660</v>
      </c>
      <c r="CO49" s="185">
        <f t="shared" si="84"/>
        <v>12</v>
      </c>
      <c r="CP49" s="2">
        <f t="shared" si="138"/>
        <v>17</v>
      </c>
      <c r="CQ49" s="382">
        <f t="shared" si="85"/>
        <v>49656</v>
      </c>
      <c r="CR49" s="185">
        <f t="shared" si="135"/>
        <v>12</v>
      </c>
      <c r="CS49" s="2">
        <f t="shared" si="136"/>
        <v>13</v>
      </c>
      <c r="CT49" s="2" t="str">
        <f t="shared" si="139"/>
        <v>初任</v>
      </c>
      <c r="CU49" s="382">
        <f t="shared" si="87"/>
        <v>49656</v>
      </c>
      <c r="CV49" s="2">
        <f t="shared" si="140"/>
        <v>12</v>
      </c>
      <c r="CW49" s="2" t="str">
        <f t="shared" si="141"/>
        <v>生日</v>
      </c>
      <c r="CX49" s="382">
        <f t="shared" si="90"/>
        <v>49660</v>
      </c>
      <c r="CY49" s="2">
        <f t="shared" si="142"/>
        <v>12</v>
      </c>
      <c r="CZ49" s="2">
        <f t="shared" si="22"/>
        <v>0</v>
      </c>
      <c r="DA49" s="2">
        <f t="shared" si="92"/>
      </c>
      <c r="DB49" s="2">
        <f t="shared" si="23"/>
      </c>
      <c r="DC49" s="2">
        <f t="shared" si="93"/>
      </c>
      <c r="DD49" s="2">
        <f t="shared" si="94"/>
      </c>
      <c r="DE49" s="2">
        <f t="shared" si="95"/>
      </c>
      <c r="DF49" s="2">
        <f t="shared" si="24"/>
      </c>
      <c r="DG49" s="129">
        <f t="shared" si="25"/>
      </c>
      <c r="DH49" s="2">
        <f t="shared" si="26"/>
      </c>
      <c r="DI49" s="2">
        <f t="shared" si="96"/>
      </c>
      <c r="DJ49" s="129">
        <f t="shared" si="97"/>
      </c>
      <c r="DK49" s="2">
        <f t="shared" si="27"/>
      </c>
      <c r="DL49" s="2">
        <f t="shared" si="98"/>
      </c>
      <c r="DM49" s="129">
        <f t="shared" si="99"/>
      </c>
      <c r="DN49" s="2">
        <f t="shared" si="28"/>
      </c>
      <c r="DO49" s="2">
        <f t="shared" si="29"/>
      </c>
      <c r="DP49" s="129">
        <f t="shared" si="100"/>
      </c>
      <c r="DQ49" s="2">
        <f t="shared" si="30"/>
      </c>
      <c r="DR49" s="2">
        <f t="shared" si="31"/>
      </c>
      <c r="DS49" s="129">
        <f t="shared" si="101"/>
      </c>
      <c r="DT49" s="2">
        <f t="shared" si="32"/>
      </c>
      <c r="DU49" s="2">
        <f t="shared" si="33"/>
      </c>
      <c r="DV49" s="129">
        <f t="shared" si="102"/>
      </c>
      <c r="DW49" s="2">
        <f t="shared" si="103"/>
      </c>
      <c r="DX49" s="2">
        <f t="shared" si="104"/>
      </c>
      <c r="DY49" s="129">
        <f t="shared" si="105"/>
      </c>
      <c r="DZ49" s="129"/>
      <c r="EA49" s="21">
        <f t="shared" si="106"/>
      </c>
      <c r="EB49" s="382">
        <f t="shared" si="107"/>
        <v>401769</v>
      </c>
      <c r="EC49" s="382">
        <f t="shared" si="108"/>
        <v>401769</v>
      </c>
      <c r="ED49" s="2">
        <f t="shared" si="109"/>
      </c>
      <c r="EE49" s="382">
        <f t="shared" si="110"/>
        <v>401769</v>
      </c>
      <c r="EF49" s="382">
        <f t="shared" si="111"/>
        <v>401769</v>
      </c>
      <c r="EG49" s="382">
        <f t="shared" si="112"/>
        <v>401769</v>
      </c>
      <c r="EH49" s="382"/>
      <c r="EI49" s="382">
        <f t="shared" si="113"/>
        <v>401769</v>
      </c>
      <c r="EJ49" s="208">
        <f t="shared" si="34"/>
        <v>401769</v>
      </c>
      <c r="EK49" s="2">
        <f t="shared" si="114"/>
      </c>
      <c r="EL49" s="2">
        <f t="shared" si="35"/>
      </c>
      <c r="EM49" s="34"/>
      <c r="EN49" s="7">
        <f t="shared" si="36"/>
        <v>0</v>
      </c>
      <c r="EO49" s="124">
        <f t="shared" si="37"/>
        <v>0.12</v>
      </c>
      <c r="EP49" s="214" t="str">
        <f t="shared" si="38"/>
        <v>●</v>
      </c>
      <c r="EQ49" s="213" t="str">
        <f t="shared" si="39"/>
        <v>●</v>
      </c>
      <c r="ER49" s="213">
        <f t="shared" si="40"/>
        <v>-0.12</v>
      </c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2">
        <f t="shared" si="41"/>
        <v>65</v>
      </c>
      <c r="FD49" s="20"/>
      <c r="FE49" s="20">
        <f t="shared" si="115"/>
        <v>124</v>
      </c>
      <c r="FF49" s="2">
        <f t="shared" si="116"/>
        <v>1</v>
      </c>
      <c r="FG49" s="2">
        <f t="shared" si="117"/>
        <v>1</v>
      </c>
      <c r="FH49" s="2">
        <f t="shared" si="118"/>
        <v>0</v>
      </c>
      <c r="FI49" s="2">
        <f t="shared" si="119"/>
        <v>0</v>
      </c>
      <c r="FJ49" s="20"/>
      <c r="FK49" s="326">
        <f t="shared" si="120"/>
        <v>0</v>
      </c>
      <c r="FL49" s="326">
        <f t="shared" si="121"/>
        <v>0</v>
      </c>
      <c r="FM49" s="326">
        <f t="shared" si="122"/>
        <v>0</v>
      </c>
      <c r="FN49" s="326">
        <f t="shared" si="123"/>
        <v>0</v>
      </c>
      <c r="FP49" s="326">
        <f t="shared" si="124"/>
      </c>
      <c r="FQ49" s="326" t="str">
        <f t="shared" si="125"/>
        <v>●</v>
      </c>
      <c r="FR49" s="326">
        <f t="shared" si="126"/>
      </c>
      <c r="FS49" s="326">
        <f t="shared" si="127"/>
      </c>
      <c r="GF49" s="2">
        <v>65</v>
      </c>
      <c r="GG49" s="2">
        <f t="shared" si="128"/>
        <v>0</v>
      </c>
      <c r="GH49" s="2">
        <f t="shared" si="129"/>
      </c>
      <c r="GI49" s="20">
        <f t="shared" si="130"/>
      </c>
      <c r="GJ49" s="20">
        <f t="shared" si="42"/>
      </c>
      <c r="GK49" s="20">
        <f t="shared" si="131"/>
      </c>
    </row>
    <row r="50" spans="1:193" s="29" customFormat="1" ht="15" customHeight="1">
      <c r="A50" s="144"/>
      <c r="B50" s="150">
        <f t="shared" si="132"/>
        <v>125</v>
      </c>
      <c r="C50" s="26">
        <f t="shared" si="43"/>
        <v>20361231</v>
      </c>
      <c r="D50" s="26" t="str">
        <f t="shared" si="44"/>
        <v>2036</v>
      </c>
      <c r="E50" s="26" t="str">
        <f t="shared" si="45"/>
        <v>12</v>
      </c>
      <c r="F50" s="26" t="str">
        <f t="shared" si="46"/>
        <v>31</v>
      </c>
      <c r="G50" s="26" t="str">
        <f t="shared" si="47"/>
        <v>2036/12/31</v>
      </c>
      <c r="H50" s="117">
        <f t="shared" si="0"/>
        <v>43</v>
      </c>
      <c r="I50" s="117">
        <f t="shared" si="48"/>
        <v>0</v>
      </c>
      <c r="J50" s="26">
        <f t="shared" si="137"/>
        <v>18</v>
      </c>
      <c r="K50" s="118">
        <f t="shared" si="1"/>
        <v>43</v>
      </c>
      <c r="L50" s="118">
        <f t="shared" si="2"/>
        <v>0</v>
      </c>
      <c r="M50" s="118">
        <f t="shared" si="3"/>
        <v>18</v>
      </c>
      <c r="N50" s="606" t="str">
        <f t="shared" si="133"/>
        <v>125.1.1~125.12.31</v>
      </c>
      <c r="O50" s="607"/>
      <c r="P50" s="607"/>
      <c r="Q50" s="608"/>
      <c r="R50" s="300" t="str">
        <f t="shared" si="134"/>
        <v>65</v>
      </c>
      <c r="S50" s="338">
        <f t="shared" si="49"/>
        <v>63</v>
      </c>
      <c r="T50" s="339">
        <f t="shared" si="50"/>
        <v>43</v>
      </c>
      <c r="U50" s="204">
        <f t="shared" si="51"/>
        <v>106</v>
      </c>
      <c r="V50" s="341">
        <v>65</v>
      </c>
      <c r="W50" s="429">
        <f t="shared" si="52"/>
      </c>
      <c r="X50" s="430"/>
      <c r="Y50" s="431"/>
      <c r="Z50" s="230">
        <f t="shared" si="53"/>
      </c>
      <c r="AA50" s="220">
        <f t="shared" si="54"/>
      </c>
      <c r="AB50" s="393">
        <f t="shared" si="55"/>
      </c>
      <c r="AC50" s="393">
        <f t="shared" si="56"/>
      </c>
      <c r="AD50" s="220" t="str">
        <f t="shared" si="57"/>
        <v>○</v>
      </c>
      <c r="AE50" s="220" t="str">
        <f t="shared" si="58"/>
        <v>○</v>
      </c>
      <c r="AF50" s="231" t="str">
        <f t="shared" si="59"/>
        <v>●</v>
      </c>
      <c r="AG50" s="310">
        <f t="shared" si="60"/>
      </c>
      <c r="AH50" s="228">
        <f t="shared" si="61"/>
      </c>
      <c r="AI50" s="321">
        <f t="shared" si="62"/>
      </c>
      <c r="AJ50" s="321">
        <f t="shared" si="63"/>
      </c>
      <c r="AK50" s="321" t="str">
        <f t="shared" si="64"/>
        <v>★</v>
      </c>
      <c r="AL50" s="321">
        <f t="shared" si="65"/>
      </c>
      <c r="AM50" s="282">
        <f t="shared" si="66"/>
        <v>-0.08</v>
      </c>
      <c r="AN50" s="103"/>
      <c r="AO50" s="119">
        <f t="shared" si="4"/>
        <v>0</v>
      </c>
      <c r="AP50" s="119">
        <f t="shared" si="67"/>
        <v>0</v>
      </c>
      <c r="AQ50" s="119">
        <f t="shared" si="68"/>
        <v>0</v>
      </c>
      <c r="AR50" s="119">
        <f>IF(OR(AO50+AP50+AQ50+GG50&gt;0,SUM($AO$30:AQ49)+GG49&gt;0),1,0)</f>
        <v>0</v>
      </c>
      <c r="AS50" s="119">
        <f t="shared" si="5"/>
      </c>
      <c r="AT50" s="119">
        <f t="shared" si="69"/>
      </c>
      <c r="AU50" s="119">
        <f t="shared" si="70"/>
      </c>
      <c r="AV50" s="380">
        <f t="shared" si="71"/>
      </c>
      <c r="AW50" s="120">
        <f t="shared" si="6"/>
        <v>0</v>
      </c>
      <c r="AX50" s="120">
        <f t="shared" si="7"/>
        <v>0</v>
      </c>
      <c r="AY50" s="120">
        <f t="shared" si="72"/>
      </c>
      <c r="AZ50" s="120">
        <f t="shared" si="8"/>
        <v>63</v>
      </c>
      <c r="BA50" s="120">
        <f t="shared" si="9"/>
        <v>20361231</v>
      </c>
      <c r="BB50" s="120" t="str">
        <f t="shared" si="10"/>
        <v>125.1.1~125.12.31</v>
      </c>
      <c r="BC50" s="121">
        <f t="shared" si="73"/>
      </c>
      <c r="BD50" s="122">
        <f t="shared" si="74"/>
      </c>
      <c r="BE50" s="122"/>
      <c r="BF50" s="120"/>
      <c r="BG50" s="123">
        <f t="shared" si="75"/>
      </c>
      <c r="BH50" s="31">
        <f t="shared" si="76"/>
        <v>1</v>
      </c>
      <c r="BI50" s="7">
        <f t="shared" si="77"/>
        <v>1</v>
      </c>
      <c r="BJ50" s="7">
        <f t="shared" si="78"/>
        <v>2</v>
      </c>
      <c r="BK50" s="124">
        <f t="shared" si="11"/>
        <v>0</v>
      </c>
      <c r="BL50" s="124">
        <f t="shared" si="79"/>
      </c>
      <c r="BM50" s="124">
        <f t="shared" si="80"/>
        <v>0</v>
      </c>
      <c r="BN50" s="124">
        <f t="shared" si="81"/>
      </c>
      <c r="BO50" s="124">
        <f t="shared" si="82"/>
        <v>0.08</v>
      </c>
      <c r="BP50" s="124">
        <f t="shared" si="12"/>
        <v>0.08</v>
      </c>
      <c r="BQ50" s="33"/>
      <c r="BR50" s="33"/>
      <c r="BS50" s="33"/>
      <c r="BT50" s="33"/>
      <c r="BU50" s="30"/>
      <c r="BV50" s="30"/>
      <c r="BW50" s="30"/>
      <c r="BX50" s="30"/>
      <c r="BY50" s="30"/>
      <c r="BZ50" s="30"/>
      <c r="CA50" s="30"/>
      <c r="CB50" s="125"/>
      <c r="CC50" s="126"/>
      <c r="CD50" s="126"/>
      <c r="CE50" s="127"/>
      <c r="CF50" s="127"/>
      <c r="CG50" s="127"/>
      <c r="CH50" s="128"/>
      <c r="CI50" s="128"/>
      <c r="CJ50" s="128"/>
      <c r="CK50" s="183">
        <f t="shared" si="18"/>
        <v>13</v>
      </c>
      <c r="CL50" s="7">
        <f t="shared" si="19"/>
        <v>12</v>
      </c>
      <c r="CM50" s="20">
        <f t="shared" si="20"/>
        <v>125</v>
      </c>
      <c r="CN50" s="382">
        <f t="shared" si="83"/>
        <v>50026</v>
      </c>
      <c r="CO50" s="185">
        <f t="shared" si="84"/>
        <v>12</v>
      </c>
      <c r="CP50" s="2">
        <f t="shared" si="138"/>
        <v>17</v>
      </c>
      <c r="CQ50" s="382">
        <f t="shared" si="85"/>
        <v>50022</v>
      </c>
      <c r="CR50" s="185">
        <f t="shared" si="135"/>
        <v>12</v>
      </c>
      <c r="CS50" s="2">
        <f t="shared" si="136"/>
        <v>13</v>
      </c>
      <c r="CT50" s="2" t="str">
        <f t="shared" si="139"/>
        <v>初任</v>
      </c>
      <c r="CU50" s="382">
        <f t="shared" si="87"/>
        <v>50022</v>
      </c>
      <c r="CV50" s="2">
        <f t="shared" si="140"/>
        <v>12</v>
      </c>
      <c r="CW50" s="2" t="str">
        <f t="shared" si="141"/>
        <v>生日</v>
      </c>
      <c r="CX50" s="382">
        <f t="shared" si="90"/>
        <v>50026</v>
      </c>
      <c r="CY50" s="2">
        <f t="shared" si="142"/>
        <v>12</v>
      </c>
      <c r="CZ50" s="2">
        <f t="shared" si="22"/>
        <v>0</v>
      </c>
      <c r="DA50" s="2">
        <f t="shared" si="92"/>
      </c>
      <c r="DB50" s="2">
        <f t="shared" si="23"/>
      </c>
      <c r="DC50" s="2">
        <f t="shared" si="93"/>
      </c>
      <c r="DD50" s="2">
        <f t="shared" si="94"/>
      </c>
      <c r="DE50" s="2">
        <f t="shared" si="95"/>
      </c>
      <c r="DF50" s="2">
        <f t="shared" si="24"/>
      </c>
      <c r="DG50" s="129">
        <f t="shared" si="25"/>
      </c>
      <c r="DH50" s="2">
        <f t="shared" si="26"/>
      </c>
      <c r="DI50" s="2">
        <f t="shared" si="96"/>
      </c>
      <c r="DJ50" s="129">
        <f t="shared" si="97"/>
      </c>
      <c r="DK50" s="2">
        <f t="shared" si="27"/>
      </c>
      <c r="DL50" s="2">
        <f t="shared" si="98"/>
      </c>
      <c r="DM50" s="129">
        <f t="shared" si="99"/>
      </c>
      <c r="DN50" s="2">
        <f t="shared" si="28"/>
      </c>
      <c r="DO50" s="2">
        <f t="shared" si="29"/>
      </c>
      <c r="DP50" s="129">
        <f t="shared" si="100"/>
      </c>
      <c r="DQ50" s="2">
        <f t="shared" si="30"/>
      </c>
      <c r="DR50" s="2">
        <f t="shared" si="31"/>
      </c>
      <c r="DS50" s="129">
        <f t="shared" si="101"/>
      </c>
      <c r="DT50" s="2">
        <f t="shared" si="32"/>
      </c>
      <c r="DU50" s="2">
        <f t="shared" si="33"/>
      </c>
      <c r="DV50" s="129">
        <f t="shared" si="102"/>
      </c>
      <c r="DW50" s="2">
        <f t="shared" si="103"/>
      </c>
      <c r="DX50" s="2">
        <f t="shared" si="104"/>
      </c>
      <c r="DY50" s="129">
        <f t="shared" si="105"/>
      </c>
      <c r="DZ50" s="129"/>
      <c r="EA50" s="21">
        <f t="shared" si="106"/>
      </c>
      <c r="EB50" s="382">
        <f t="shared" si="107"/>
        <v>401769</v>
      </c>
      <c r="EC50" s="382">
        <f t="shared" si="108"/>
        <v>401769</v>
      </c>
      <c r="ED50" s="2">
        <f t="shared" si="109"/>
      </c>
      <c r="EE50" s="382">
        <f t="shared" si="110"/>
        <v>401769</v>
      </c>
      <c r="EF50" s="382">
        <f t="shared" si="111"/>
        <v>401769</v>
      </c>
      <c r="EG50" s="382">
        <f t="shared" si="112"/>
        <v>401769</v>
      </c>
      <c r="EH50" s="382"/>
      <c r="EI50" s="382">
        <f t="shared" si="113"/>
        <v>401769</v>
      </c>
      <c r="EJ50" s="208">
        <f t="shared" si="34"/>
        <v>401769</v>
      </c>
      <c r="EK50" s="2">
        <f t="shared" si="114"/>
      </c>
      <c r="EL50" s="2">
        <f t="shared" si="35"/>
      </c>
      <c r="EM50" s="34"/>
      <c r="EN50" s="7">
        <f t="shared" si="36"/>
        <v>0</v>
      </c>
      <c r="EO50" s="124">
        <f t="shared" si="37"/>
        <v>0.08</v>
      </c>
      <c r="EP50" s="214" t="str">
        <f t="shared" si="38"/>
        <v>●</v>
      </c>
      <c r="EQ50" s="213" t="str">
        <f t="shared" si="39"/>
        <v>●</v>
      </c>
      <c r="ER50" s="213">
        <f t="shared" si="40"/>
        <v>-0.08</v>
      </c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2">
        <f t="shared" si="41"/>
        <v>65</v>
      </c>
      <c r="FD50" s="20"/>
      <c r="FE50" s="20">
        <f t="shared" si="115"/>
        <v>125</v>
      </c>
      <c r="FF50" s="2">
        <f t="shared" si="116"/>
        <v>1</v>
      </c>
      <c r="FG50" s="2">
        <f t="shared" si="117"/>
        <v>1</v>
      </c>
      <c r="FH50" s="2">
        <f t="shared" si="118"/>
        <v>1</v>
      </c>
      <c r="FI50" s="2">
        <f t="shared" si="119"/>
        <v>0</v>
      </c>
      <c r="FJ50" s="20"/>
      <c r="FK50" s="326">
        <f t="shared" si="120"/>
        <v>0</v>
      </c>
      <c r="FL50" s="326">
        <f t="shared" si="121"/>
        <v>0</v>
      </c>
      <c r="FM50" s="326">
        <f t="shared" si="122"/>
        <v>0</v>
      </c>
      <c r="FN50" s="326">
        <f t="shared" si="123"/>
        <v>0</v>
      </c>
      <c r="FP50" s="326">
        <f t="shared" si="124"/>
      </c>
      <c r="FQ50" s="326">
        <f t="shared" si="125"/>
      </c>
      <c r="FR50" s="326" t="str">
        <f t="shared" si="126"/>
        <v>●</v>
      </c>
      <c r="FS50" s="326">
        <f t="shared" si="127"/>
      </c>
      <c r="GF50" s="2">
        <v>65</v>
      </c>
      <c r="GG50" s="2">
        <f t="shared" si="128"/>
        <v>0</v>
      </c>
      <c r="GH50" s="2">
        <f t="shared" si="129"/>
      </c>
      <c r="GI50" s="20">
        <f t="shared" si="130"/>
      </c>
      <c r="GJ50" s="20">
        <f t="shared" si="42"/>
      </c>
      <c r="GK50" s="20">
        <f t="shared" si="131"/>
      </c>
    </row>
    <row r="51" spans="1:193" s="29" customFormat="1" ht="15" customHeight="1">
      <c r="A51" s="144"/>
      <c r="B51" s="150">
        <f t="shared" si="132"/>
        <v>126</v>
      </c>
      <c r="C51" s="26">
        <f t="shared" si="43"/>
        <v>20371231</v>
      </c>
      <c r="D51" s="26" t="str">
        <f t="shared" si="44"/>
        <v>2037</v>
      </c>
      <c r="E51" s="26" t="str">
        <f t="shared" si="45"/>
        <v>12</v>
      </c>
      <c r="F51" s="26" t="str">
        <f t="shared" si="46"/>
        <v>31</v>
      </c>
      <c r="G51" s="26" t="str">
        <f t="shared" si="47"/>
        <v>2037/12/31</v>
      </c>
      <c r="H51" s="117">
        <f t="shared" si="0"/>
        <v>44</v>
      </c>
      <c r="I51" s="117">
        <f t="shared" si="48"/>
        <v>0</v>
      </c>
      <c r="J51" s="26">
        <f t="shared" si="137"/>
        <v>18</v>
      </c>
      <c r="K51" s="118">
        <f t="shared" si="1"/>
        <v>44</v>
      </c>
      <c r="L51" s="118">
        <f t="shared" si="2"/>
        <v>0</v>
      </c>
      <c r="M51" s="118">
        <f t="shared" si="3"/>
        <v>18</v>
      </c>
      <c r="N51" s="606" t="str">
        <f t="shared" si="133"/>
        <v>126.1.1~126.12.31</v>
      </c>
      <c r="O51" s="607"/>
      <c r="P51" s="607"/>
      <c r="Q51" s="608"/>
      <c r="R51" s="300" t="str">
        <f t="shared" si="134"/>
        <v>65</v>
      </c>
      <c r="S51" s="338">
        <f t="shared" si="49"/>
        <v>64</v>
      </c>
      <c r="T51" s="339">
        <f t="shared" si="50"/>
        <v>44</v>
      </c>
      <c r="U51" s="204">
        <f t="shared" si="51"/>
        <v>108</v>
      </c>
      <c r="V51" s="341">
        <v>65</v>
      </c>
      <c r="W51" s="429">
        <f t="shared" si="52"/>
      </c>
      <c r="X51" s="430"/>
      <c r="Y51" s="431"/>
      <c r="Z51" s="230">
        <f t="shared" si="53"/>
      </c>
      <c r="AA51" s="220">
        <f t="shared" si="54"/>
      </c>
      <c r="AB51" s="393">
        <f t="shared" si="55"/>
      </c>
      <c r="AC51" s="393">
        <f t="shared" si="56"/>
      </c>
      <c r="AD51" s="220">
        <f t="shared" si="57"/>
      </c>
      <c r="AE51" s="220" t="str">
        <f t="shared" si="58"/>
        <v>○</v>
      </c>
      <c r="AF51" s="231" t="str">
        <f t="shared" si="59"/>
        <v>●</v>
      </c>
      <c r="AG51" s="310">
        <f t="shared" si="60"/>
      </c>
      <c r="AH51" s="228">
        <f t="shared" si="61"/>
      </c>
      <c r="AI51" s="321">
        <f t="shared" si="62"/>
      </c>
      <c r="AJ51" s="321">
        <f t="shared" si="63"/>
      </c>
      <c r="AK51" s="321">
        <f t="shared" si="64"/>
      </c>
      <c r="AL51" s="321" t="str">
        <f t="shared" si="65"/>
        <v>★</v>
      </c>
      <c r="AM51" s="282">
        <f t="shared" si="66"/>
        <v>-0.04</v>
      </c>
      <c r="AN51" s="103"/>
      <c r="AO51" s="119">
        <f t="shared" si="4"/>
        <v>0</v>
      </c>
      <c r="AP51" s="119">
        <f t="shared" si="67"/>
        <v>0</v>
      </c>
      <c r="AQ51" s="119">
        <f t="shared" si="68"/>
        <v>0</v>
      </c>
      <c r="AR51" s="119">
        <f>IF(OR(AO51+AP51+AQ51+GG51&gt;0,SUM($AO$30:AQ50)+GG50&gt;0),1,0)</f>
        <v>0</v>
      </c>
      <c r="AS51" s="119">
        <f t="shared" si="5"/>
      </c>
      <c r="AT51" s="119">
        <f t="shared" si="69"/>
      </c>
      <c r="AU51" s="119">
        <f t="shared" si="70"/>
      </c>
      <c r="AV51" s="380">
        <f t="shared" si="71"/>
      </c>
      <c r="AW51" s="120">
        <f t="shared" si="6"/>
        <v>0</v>
      </c>
      <c r="AX51" s="120">
        <f t="shared" si="7"/>
        <v>0</v>
      </c>
      <c r="AY51" s="120">
        <f t="shared" si="72"/>
      </c>
      <c r="AZ51" s="120">
        <f t="shared" si="8"/>
        <v>64</v>
      </c>
      <c r="BA51" s="120">
        <f t="shared" si="9"/>
        <v>20371231</v>
      </c>
      <c r="BB51" s="120" t="str">
        <f t="shared" si="10"/>
        <v>126.1.1~126.12.31</v>
      </c>
      <c r="BC51" s="121">
        <f t="shared" si="73"/>
      </c>
      <c r="BD51" s="122">
        <f t="shared" si="74"/>
      </c>
      <c r="BE51" s="122"/>
      <c r="BF51" s="120"/>
      <c r="BG51" s="123">
        <f t="shared" si="75"/>
      </c>
      <c r="BH51" s="31">
        <f t="shared" si="76"/>
        <v>1</v>
      </c>
      <c r="BI51" s="7">
        <f t="shared" si="77"/>
        <v>1</v>
      </c>
      <c r="BJ51" s="7">
        <f t="shared" si="78"/>
        <v>1</v>
      </c>
      <c r="BK51" s="124">
        <f t="shared" si="11"/>
        <v>0</v>
      </c>
      <c r="BL51" s="124">
        <f t="shared" si="79"/>
      </c>
      <c r="BM51" s="124">
        <f t="shared" si="80"/>
        <v>0</v>
      </c>
      <c r="BN51" s="124">
        <f t="shared" si="81"/>
      </c>
      <c r="BO51" s="124">
        <f t="shared" si="82"/>
        <v>0.04</v>
      </c>
      <c r="BP51" s="124">
        <f t="shared" si="12"/>
        <v>0.04</v>
      </c>
      <c r="BQ51" s="33"/>
      <c r="BR51" s="33"/>
      <c r="BS51" s="33"/>
      <c r="BT51" s="33"/>
      <c r="BU51" s="30"/>
      <c r="BV51" s="30"/>
      <c r="BW51" s="30"/>
      <c r="BX51" s="30"/>
      <c r="BY51" s="30"/>
      <c r="BZ51" s="30"/>
      <c r="CA51" s="30"/>
      <c r="CB51" s="125"/>
      <c r="CC51" s="126"/>
      <c r="CD51" s="126"/>
      <c r="CE51" s="127"/>
      <c r="CF51" s="127"/>
      <c r="CG51" s="127"/>
      <c r="CH51" s="128"/>
      <c r="CI51" s="128"/>
      <c r="CJ51" s="128"/>
      <c r="CK51" s="183">
        <f t="shared" si="18"/>
        <v>13</v>
      </c>
      <c r="CL51" s="7">
        <f t="shared" si="19"/>
        <v>12</v>
      </c>
      <c r="CM51" s="20">
        <f t="shared" si="20"/>
        <v>126</v>
      </c>
      <c r="CN51" s="382">
        <f t="shared" si="83"/>
        <v>50391</v>
      </c>
      <c r="CO51" s="185">
        <f t="shared" si="84"/>
        <v>12</v>
      </c>
      <c r="CP51" s="2">
        <f t="shared" si="138"/>
        <v>17</v>
      </c>
      <c r="CQ51" s="382">
        <f t="shared" si="85"/>
        <v>50387</v>
      </c>
      <c r="CR51" s="185">
        <f t="shared" si="135"/>
        <v>12</v>
      </c>
      <c r="CS51" s="2">
        <f t="shared" si="136"/>
        <v>13</v>
      </c>
      <c r="CT51" s="2" t="str">
        <f t="shared" si="139"/>
        <v>初任</v>
      </c>
      <c r="CU51" s="382">
        <f t="shared" si="87"/>
        <v>50387</v>
      </c>
      <c r="CV51" s="2">
        <f t="shared" si="140"/>
        <v>12</v>
      </c>
      <c r="CW51" s="2" t="str">
        <f t="shared" si="141"/>
        <v>生日</v>
      </c>
      <c r="CX51" s="382">
        <f t="shared" si="90"/>
        <v>50391</v>
      </c>
      <c r="CY51" s="2">
        <f t="shared" si="142"/>
        <v>12</v>
      </c>
      <c r="CZ51" s="2">
        <f t="shared" si="22"/>
        <v>0</v>
      </c>
      <c r="DA51" s="2">
        <f t="shared" si="92"/>
      </c>
      <c r="DB51" s="2">
        <f t="shared" si="23"/>
      </c>
      <c r="DC51" s="2">
        <f t="shared" si="93"/>
      </c>
      <c r="DD51" s="2">
        <f t="shared" si="94"/>
      </c>
      <c r="DE51" s="2">
        <f t="shared" si="95"/>
      </c>
      <c r="DF51" s="2">
        <f t="shared" si="24"/>
      </c>
      <c r="DG51" s="129">
        <f t="shared" si="25"/>
      </c>
      <c r="DH51" s="2">
        <f t="shared" si="26"/>
      </c>
      <c r="DI51" s="2">
        <f t="shared" si="96"/>
      </c>
      <c r="DJ51" s="129">
        <f t="shared" si="97"/>
      </c>
      <c r="DK51" s="2">
        <f t="shared" si="27"/>
      </c>
      <c r="DL51" s="2">
        <f t="shared" si="98"/>
      </c>
      <c r="DM51" s="129">
        <f t="shared" si="99"/>
      </c>
      <c r="DN51" s="2">
        <f t="shared" si="28"/>
      </c>
      <c r="DO51" s="2">
        <f t="shared" si="29"/>
      </c>
      <c r="DP51" s="129">
        <f t="shared" si="100"/>
      </c>
      <c r="DQ51" s="2">
        <f t="shared" si="30"/>
      </c>
      <c r="DR51" s="2">
        <f t="shared" si="31"/>
      </c>
      <c r="DS51" s="129">
        <f t="shared" si="101"/>
      </c>
      <c r="DT51" s="2">
        <f t="shared" si="32"/>
      </c>
      <c r="DU51" s="2">
        <f t="shared" si="33"/>
      </c>
      <c r="DV51" s="129">
        <f t="shared" si="102"/>
      </c>
      <c r="DW51" s="2">
        <f t="shared" si="103"/>
      </c>
      <c r="DX51" s="2">
        <f t="shared" si="104"/>
      </c>
      <c r="DY51" s="129">
        <f t="shared" si="105"/>
      </c>
      <c r="DZ51" s="129"/>
      <c r="EA51" s="21">
        <f t="shared" si="106"/>
      </c>
      <c r="EB51" s="382">
        <f t="shared" si="107"/>
        <v>401769</v>
      </c>
      <c r="EC51" s="382">
        <f t="shared" si="108"/>
        <v>401769</v>
      </c>
      <c r="ED51" s="2">
        <f t="shared" si="109"/>
      </c>
      <c r="EE51" s="382">
        <f t="shared" si="110"/>
        <v>401769</v>
      </c>
      <c r="EF51" s="382">
        <f t="shared" si="111"/>
        <v>401769</v>
      </c>
      <c r="EG51" s="382">
        <f t="shared" si="112"/>
        <v>401769</v>
      </c>
      <c r="EH51" s="382"/>
      <c r="EI51" s="382">
        <f t="shared" si="113"/>
        <v>401769</v>
      </c>
      <c r="EJ51" s="208">
        <f t="shared" si="34"/>
        <v>401769</v>
      </c>
      <c r="EK51" s="2">
        <f t="shared" si="114"/>
      </c>
      <c r="EL51" s="2">
        <f t="shared" si="35"/>
      </c>
      <c r="EM51" s="34"/>
      <c r="EN51" s="7">
        <f t="shared" si="36"/>
        <v>0</v>
      </c>
      <c r="EO51" s="124">
        <f t="shared" si="37"/>
        <v>0.04</v>
      </c>
      <c r="EP51" s="214" t="str">
        <f t="shared" si="38"/>
        <v>●</v>
      </c>
      <c r="EQ51" s="213" t="str">
        <f t="shared" si="39"/>
        <v>●</v>
      </c>
      <c r="ER51" s="213">
        <f t="shared" si="40"/>
        <v>-0.04</v>
      </c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2">
        <f t="shared" si="41"/>
        <v>65</v>
      </c>
      <c r="FD51" s="20"/>
      <c r="FE51" s="20">
        <f t="shared" si="115"/>
        <v>126</v>
      </c>
      <c r="FF51" s="2">
        <f t="shared" si="116"/>
        <v>1</v>
      </c>
      <c r="FG51" s="2">
        <f t="shared" si="117"/>
        <v>1</v>
      </c>
      <c r="FH51" s="2">
        <f t="shared" si="118"/>
        <v>1</v>
      </c>
      <c r="FI51" s="2">
        <f t="shared" si="119"/>
        <v>1</v>
      </c>
      <c r="FJ51" s="20"/>
      <c r="FK51" s="326">
        <f t="shared" si="120"/>
        <v>0</v>
      </c>
      <c r="FL51" s="326">
        <f t="shared" si="121"/>
        <v>0</v>
      </c>
      <c r="FM51" s="326">
        <f t="shared" si="122"/>
        <v>0</v>
      </c>
      <c r="FN51" s="326">
        <f t="shared" si="123"/>
        <v>0</v>
      </c>
      <c r="FP51" s="326">
        <f t="shared" si="124"/>
      </c>
      <c r="FQ51" s="326">
        <f t="shared" si="125"/>
      </c>
      <c r="FR51" s="326">
        <f t="shared" si="126"/>
      </c>
      <c r="FS51" s="326" t="str">
        <f t="shared" si="127"/>
        <v>●</v>
      </c>
      <c r="GF51" s="2">
        <v>65</v>
      </c>
      <c r="GG51" s="2">
        <f t="shared" si="128"/>
        <v>0</v>
      </c>
      <c r="GH51" s="2">
        <f t="shared" si="129"/>
      </c>
      <c r="GI51" s="20">
        <f t="shared" si="130"/>
      </c>
      <c r="GJ51" s="20">
        <f t="shared" si="42"/>
      </c>
      <c r="GK51" s="20">
        <f t="shared" si="131"/>
      </c>
    </row>
    <row r="52" spans="1:193" s="29" customFormat="1" ht="15" customHeight="1">
      <c r="A52" s="144"/>
      <c r="B52" s="150">
        <f t="shared" si="132"/>
        <v>127</v>
      </c>
      <c r="C52" s="26">
        <f t="shared" si="43"/>
        <v>20381231</v>
      </c>
      <c r="D52" s="26" t="str">
        <f t="shared" si="44"/>
        <v>2038</v>
      </c>
      <c r="E52" s="26" t="str">
        <f t="shared" si="45"/>
        <v>12</v>
      </c>
      <c r="F52" s="26" t="str">
        <f t="shared" si="46"/>
        <v>31</v>
      </c>
      <c r="G52" s="26" t="str">
        <f t="shared" si="47"/>
        <v>2038/12/31</v>
      </c>
      <c r="H52" s="117">
        <f t="shared" si="0"/>
        <v>45</v>
      </c>
      <c r="I52" s="117">
        <f t="shared" si="48"/>
        <v>0</v>
      </c>
      <c r="J52" s="26">
        <f t="shared" si="137"/>
        <v>18</v>
      </c>
      <c r="K52" s="118">
        <f t="shared" si="1"/>
        <v>45</v>
      </c>
      <c r="L52" s="118">
        <f t="shared" si="2"/>
        <v>0</v>
      </c>
      <c r="M52" s="118">
        <f t="shared" si="3"/>
        <v>18</v>
      </c>
      <c r="N52" s="606" t="str">
        <f t="shared" si="133"/>
        <v>127.1.1~127.12.31</v>
      </c>
      <c r="O52" s="607"/>
      <c r="P52" s="607"/>
      <c r="Q52" s="608"/>
      <c r="R52" s="300" t="str">
        <f t="shared" si="134"/>
        <v>65</v>
      </c>
      <c r="S52" s="338">
        <f t="shared" si="49"/>
        <v>65</v>
      </c>
      <c r="T52" s="339">
        <f t="shared" si="50"/>
        <v>45</v>
      </c>
      <c r="U52" s="204">
        <f t="shared" si="51"/>
        <v>110</v>
      </c>
      <c r="V52" s="341">
        <v>65</v>
      </c>
      <c r="W52" s="429" t="str">
        <f t="shared" si="52"/>
        <v>已符基本條件，請參閱上方【分析結果】</v>
      </c>
      <c r="X52" s="430"/>
      <c r="Y52" s="431"/>
      <c r="Z52" s="230">
        <f t="shared" si="53"/>
      </c>
      <c r="AA52" s="220">
        <f t="shared" si="54"/>
      </c>
      <c r="AB52" s="393">
        <f t="shared" si="55"/>
      </c>
      <c r="AC52" s="393">
        <f t="shared" si="56"/>
      </c>
      <c r="AD52" s="220">
        <f t="shared" si="57"/>
      </c>
      <c r="AE52" s="220">
        <f t="shared" si="58"/>
      </c>
      <c r="AF52" s="231" t="str">
        <f t="shared" si="59"/>
        <v>●</v>
      </c>
      <c r="AG52" s="310">
        <f t="shared" si="60"/>
      </c>
      <c r="AH52" s="228">
        <f t="shared" si="61"/>
      </c>
      <c r="AI52" s="321">
        <f t="shared" si="62"/>
      </c>
      <c r="AJ52" s="321">
        <f t="shared" si="63"/>
      </c>
      <c r="AK52" s="321">
        <f t="shared" si="64"/>
      </c>
      <c r="AL52" s="321">
        <f t="shared" si="65"/>
      </c>
      <c r="AM52" s="282" t="str">
        <f t="shared" si="66"/>
        <v>★</v>
      </c>
      <c r="AN52" s="103"/>
      <c r="AO52" s="119">
        <f t="shared" si="4"/>
        <v>0</v>
      </c>
      <c r="AP52" s="119">
        <f t="shared" si="67"/>
        <v>1</v>
      </c>
      <c r="AQ52" s="119">
        <f t="shared" si="68"/>
        <v>1</v>
      </c>
      <c r="AR52" s="119">
        <f>IF(OR(AO52+AP52+AQ52+GG52&gt;0,SUM($AO$30:AQ51)+GG51&gt;0),1,0)</f>
        <v>1</v>
      </c>
      <c r="AS52" s="119">
        <f t="shared" si="5"/>
      </c>
      <c r="AT52" s="119" t="str">
        <f t="shared" si="69"/>
        <v>符合「年齡滿65歲、年資滿15年」之屆齡退休擇領月退休金條件</v>
      </c>
      <c r="AU52" s="119">
        <f t="shared" si="70"/>
      </c>
      <c r="AV52" s="380" t="str">
        <f t="shared" si="71"/>
        <v>符合「年齡滿65歲、年資滿15年」之屆齡退休擇領月退休金條件</v>
      </c>
      <c r="AW52" s="120">
        <f t="shared" si="6"/>
        <v>0</v>
      </c>
      <c r="AX52" s="120">
        <f t="shared" si="7"/>
        <v>1</v>
      </c>
      <c r="AY52" s="120" t="str">
        <f t="shared" si="72"/>
        <v>符合</v>
      </c>
      <c r="AZ52" s="120">
        <f t="shared" si="8"/>
        <v>65</v>
      </c>
      <c r="BA52" s="120">
        <f t="shared" si="9"/>
        <v>20381231</v>
      </c>
      <c r="BB52" s="120" t="str">
        <f t="shared" si="10"/>
        <v>127.1.1~127.12.31</v>
      </c>
      <c r="BC52" s="121" t="str">
        <f t="shared" si="73"/>
        <v>★您將於127.1.1~127.12.31之間達到屆齡退休限齡，且因年資已滿15年，可以擇領月退休金</v>
      </c>
      <c r="BD52" s="122" t="str">
        <f t="shared" si="74"/>
        <v>★ 您自本區間起，達到屆齡退休限齡</v>
      </c>
      <c r="BE52" s="122"/>
      <c r="BF52" s="120"/>
      <c r="BG52" s="123" t="str">
        <f t="shared" si="75"/>
        <v>您將在緩衝期後的【127.1.1~127.12.31】期間，達到符合「年齡滿65歲、年資滿15年」之屆齡退休擇領月退休金條件</v>
      </c>
      <c r="BH52" s="31">
        <f t="shared" si="76"/>
        <v>1</v>
      </c>
      <c r="BI52" s="7">
        <f t="shared" si="77"/>
        <v>1</v>
      </c>
      <c r="BJ52" s="7">
        <f t="shared" si="78"/>
        <v>0</v>
      </c>
      <c r="BK52" s="124">
        <f t="shared" si="11"/>
        <v>0</v>
      </c>
      <c r="BL52" s="124">
        <f t="shared" si="79"/>
      </c>
      <c r="BM52" s="124">
        <f t="shared" si="80"/>
        <v>0</v>
      </c>
      <c r="BN52" s="124">
        <f t="shared" si="81"/>
      </c>
      <c r="BO52" s="124">
        <f t="shared" si="82"/>
        <v>0</v>
      </c>
      <c r="BP52" s="124" t="str">
        <f t="shared" si="12"/>
        <v>●</v>
      </c>
      <c r="BQ52" s="33"/>
      <c r="BR52" s="33"/>
      <c r="BS52" s="33"/>
      <c r="BT52" s="33"/>
      <c r="BU52" s="30"/>
      <c r="BV52" s="30"/>
      <c r="BW52" s="30"/>
      <c r="BX52" s="30"/>
      <c r="BY52" s="30"/>
      <c r="BZ52" s="30"/>
      <c r="CA52" s="30"/>
      <c r="CB52" s="125"/>
      <c r="CC52" s="126"/>
      <c r="CD52" s="126"/>
      <c r="CE52" s="127"/>
      <c r="CF52" s="127"/>
      <c r="CG52" s="127"/>
      <c r="CH52" s="128"/>
      <c r="CI52" s="128"/>
      <c r="CJ52" s="128"/>
      <c r="CK52" s="183">
        <f t="shared" si="18"/>
        <v>13</v>
      </c>
      <c r="CL52" s="7">
        <f t="shared" si="19"/>
        <v>12</v>
      </c>
      <c r="CM52" s="20">
        <f t="shared" si="20"/>
        <v>127</v>
      </c>
      <c r="CN52" s="382">
        <f t="shared" si="83"/>
        <v>50756</v>
      </c>
      <c r="CO52" s="185">
        <f t="shared" si="84"/>
        <v>12</v>
      </c>
      <c r="CP52" s="2">
        <f t="shared" si="138"/>
        <v>17</v>
      </c>
      <c r="CQ52" s="382">
        <f t="shared" si="85"/>
        <v>50752</v>
      </c>
      <c r="CR52" s="185">
        <f t="shared" si="135"/>
        <v>12</v>
      </c>
      <c r="CS52" s="2">
        <f t="shared" si="136"/>
        <v>13</v>
      </c>
      <c r="CT52" s="2" t="str">
        <f t="shared" si="139"/>
        <v>初任</v>
      </c>
      <c r="CU52" s="382">
        <f t="shared" si="87"/>
        <v>50752</v>
      </c>
      <c r="CV52" s="2">
        <f t="shared" si="140"/>
        <v>12</v>
      </c>
      <c r="CW52" s="2" t="str">
        <f t="shared" si="141"/>
        <v>生日</v>
      </c>
      <c r="CX52" s="382">
        <f t="shared" si="90"/>
        <v>50756</v>
      </c>
      <c r="CY52" s="2">
        <f t="shared" si="142"/>
        <v>12</v>
      </c>
      <c r="CZ52" s="2">
        <f t="shared" si="22"/>
        <v>1</v>
      </c>
      <c r="DA52" s="2">
        <f t="shared" si="92"/>
        <v>65</v>
      </c>
      <c r="DB52" s="2">
        <f t="shared" si="23"/>
        <v>45</v>
      </c>
      <c r="DC52" s="2">
        <f t="shared" si="93"/>
      </c>
      <c r="DD52" s="2">
        <f t="shared" si="94"/>
      </c>
      <c r="DE52" s="2">
        <f t="shared" si="95"/>
      </c>
      <c r="DF52" s="2">
        <f t="shared" si="24"/>
      </c>
      <c r="DG52" s="129">
        <f t="shared" si="25"/>
      </c>
      <c r="DH52" s="2">
        <f t="shared" si="26"/>
      </c>
      <c r="DI52" s="2">
        <f t="shared" si="96"/>
      </c>
      <c r="DJ52" s="129">
        <f t="shared" si="97"/>
      </c>
      <c r="DK52" s="2">
        <f t="shared" si="27"/>
      </c>
      <c r="DL52" s="2">
        <f t="shared" si="98"/>
      </c>
      <c r="DM52" s="129">
        <f t="shared" si="99"/>
      </c>
      <c r="DN52" s="2">
        <f t="shared" si="28"/>
      </c>
      <c r="DO52" s="2">
        <f t="shared" si="29"/>
      </c>
      <c r="DP52" s="129">
        <f t="shared" si="100"/>
      </c>
      <c r="DQ52" s="2">
        <f t="shared" si="30"/>
      </c>
      <c r="DR52" s="2">
        <f t="shared" si="31"/>
      </c>
      <c r="DS52" s="129">
        <f t="shared" si="101"/>
      </c>
      <c r="DT52" s="2">
        <f t="shared" si="32"/>
      </c>
      <c r="DU52" s="2">
        <f t="shared" si="33"/>
      </c>
      <c r="DV52" s="129">
        <f t="shared" si="102"/>
      </c>
      <c r="DW52" s="2">
        <f t="shared" si="103"/>
        <v>12</v>
      </c>
      <c r="DX52" s="2">
        <f t="shared" si="104"/>
        <v>50756</v>
      </c>
      <c r="DY52" s="129" t="str">
        <f t="shared" si="105"/>
        <v>128.2.1。【說明：原實際條件成就時間為50756，惟因必須配合學期而延至當學期結束之次日，始能退休生效，爰推算為128.2.1】</v>
      </c>
      <c r="DZ52" s="129"/>
      <c r="EA52" s="21" t="str">
        <f t="shared" si="106"/>
        <v>128.2.1。【說明：原實際條件成就時間為50756，惟因必須配合學期而延至當學期結束之次日，始能退休生效，爰推算為128.2.1】</v>
      </c>
      <c r="EB52" s="382">
        <f t="shared" si="107"/>
        <v>401769</v>
      </c>
      <c r="EC52" s="382">
        <f t="shared" si="108"/>
        <v>401769</v>
      </c>
      <c r="ED52" s="2">
        <f t="shared" si="109"/>
      </c>
      <c r="EE52" s="382">
        <f t="shared" si="110"/>
        <v>401769</v>
      </c>
      <c r="EF52" s="382">
        <f t="shared" si="111"/>
        <v>401769</v>
      </c>
      <c r="EG52" s="382">
        <f t="shared" si="112"/>
        <v>50756</v>
      </c>
      <c r="EH52" s="382"/>
      <c r="EI52" s="382">
        <f t="shared" si="113"/>
        <v>50756</v>
      </c>
      <c r="EJ52" s="208">
        <f t="shared" si="34"/>
        <v>50756</v>
      </c>
      <c r="EK52" s="2">
        <f t="shared" si="114"/>
        <v>128</v>
      </c>
      <c r="EL52" s="2">
        <f t="shared" si="35"/>
      </c>
      <c r="EM52" s="34"/>
      <c r="EN52" s="7">
        <f t="shared" si="36"/>
        <v>1</v>
      </c>
      <c r="EO52" s="124">
        <f t="shared" si="37"/>
        <v>0</v>
      </c>
      <c r="EP52" s="214" t="str">
        <f t="shared" si="38"/>
        <v>●</v>
      </c>
      <c r="EQ52" s="213" t="str">
        <f t="shared" si="39"/>
        <v>●</v>
      </c>
      <c r="ER52" s="213" t="e">
        <f t="shared" si="40"/>
        <v>#VALUE!</v>
      </c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2">
        <f t="shared" si="41"/>
        <v>65</v>
      </c>
      <c r="FD52" s="20"/>
      <c r="FE52" s="20">
        <f t="shared" si="115"/>
        <v>127</v>
      </c>
      <c r="FF52" s="2">
        <f t="shared" si="116"/>
        <v>1</v>
      </c>
      <c r="FG52" s="2">
        <f t="shared" si="117"/>
        <v>1</v>
      </c>
      <c r="FH52" s="2">
        <f t="shared" si="118"/>
        <v>1</v>
      </c>
      <c r="FI52" s="2">
        <f t="shared" si="119"/>
        <v>1</v>
      </c>
      <c r="FJ52" s="20"/>
      <c r="FK52" s="326">
        <f t="shared" si="120"/>
        <v>0</v>
      </c>
      <c r="FL52" s="326">
        <f t="shared" si="121"/>
        <v>0</v>
      </c>
      <c r="FM52" s="326">
        <f t="shared" si="122"/>
        <v>0</v>
      </c>
      <c r="FN52" s="326">
        <f t="shared" si="123"/>
        <v>0</v>
      </c>
      <c r="FP52" s="326">
        <f t="shared" si="124"/>
      </c>
      <c r="FQ52" s="326">
        <f t="shared" si="125"/>
      </c>
      <c r="FR52" s="326">
        <f t="shared" si="126"/>
      </c>
      <c r="FS52" s="326">
        <f t="shared" si="127"/>
      </c>
      <c r="GF52" s="2">
        <v>65</v>
      </c>
      <c r="GG52" s="2">
        <f t="shared" si="128"/>
        <v>1</v>
      </c>
      <c r="GH52" s="2">
        <f t="shared" si="129"/>
      </c>
      <c r="GI52" s="20" t="str">
        <f t="shared" si="130"/>
        <v>已符基本條件，請參閱上方【分析結果】</v>
      </c>
      <c r="GJ52" s="20">
        <f t="shared" si="42"/>
      </c>
      <c r="GK52" s="20" t="str">
        <f t="shared" si="131"/>
        <v>已符基本條件，請參閱上方【分析結果】</v>
      </c>
    </row>
    <row r="53" spans="1:193" s="29" customFormat="1" ht="15" customHeight="1">
      <c r="A53" s="144"/>
      <c r="B53" s="150">
        <f t="shared" si="132"/>
        <v>128</v>
      </c>
      <c r="C53" s="26">
        <f t="shared" si="43"/>
        <v>20391231</v>
      </c>
      <c r="D53" s="26" t="str">
        <f t="shared" si="44"/>
        <v>2039</v>
      </c>
      <c r="E53" s="26" t="str">
        <f t="shared" si="45"/>
        <v>12</v>
      </c>
      <c r="F53" s="26" t="str">
        <f t="shared" si="46"/>
        <v>31</v>
      </c>
      <c r="G53" s="26" t="str">
        <f t="shared" si="47"/>
        <v>2039/12/31</v>
      </c>
      <c r="H53" s="117">
        <f t="shared" si="0"/>
        <v>46</v>
      </c>
      <c r="I53" s="117">
        <f t="shared" si="48"/>
        <v>0</v>
      </c>
      <c r="J53" s="26">
        <f t="shared" si="137"/>
        <v>18</v>
      </c>
      <c r="K53" s="118">
        <f t="shared" si="1"/>
        <v>46</v>
      </c>
      <c r="L53" s="118">
        <f t="shared" si="2"/>
        <v>0</v>
      </c>
      <c r="M53" s="118">
        <f t="shared" si="3"/>
        <v>18</v>
      </c>
      <c r="N53" s="606" t="str">
        <f t="shared" si="133"/>
        <v>128.1.1~128.12.31</v>
      </c>
      <c r="O53" s="607"/>
      <c r="P53" s="607"/>
      <c r="Q53" s="608"/>
      <c r="R53" s="300" t="str">
        <f t="shared" si="134"/>
        <v>65</v>
      </c>
      <c r="S53" s="338">
        <f t="shared" si="49"/>
        <v>66</v>
      </c>
      <c r="T53" s="339">
        <f t="shared" si="50"/>
        <v>46</v>
      </c>
      <c r="U53" s="204">
        <f t="shared" si="51"/>
        <v>112</v>
      </c>
      <c r="V53" s="341">
        <v>65</v>
      </c>
      <c r="W53" s="429" t="str">
        <f t="shared" si="52"/>
        <v>已逾屆齡退休限齡</v>
      </c>
      <c r="X53" s="430"/>
      <c r="Y53" s="431"/>
      <c r="Z53" s="230">
        <f t="shared" si="53"/>
      </c>
      <c r="AA53" s="220">
        <f t="shared" si="54"/>
      </c>
      <c r="AB53" s="393">
        <f t="shared" si="55"/>
      </c>
      <c r="AC53" s="393">
        <f t="shared" si="56"/>
      </c>
      <c r="AD53" s="220">
        <f t="shared" si="57"/>
      </c>
      <c r="AE53" s="220">
        <f t="shared" si="58"/>
      </c>
      <c r="AF53" s="231">
        <f t="shared" si="59"/>
      </c>
      <c r="AG53" s="310">
        <f t="shared" si="60"/>
      </c>
      <c r="AH53" s="228">
        <f t="shared" si="61"/>
      </c>
      <c r="AI53" s="321">
        <f t="shared" si="62"/>
      </c>
      <c r="AJ53" s="321">
        <f t="shared" si="63"/>
      </c>
      <c r="AK53" s="321">
        <f t="shared" si="64"/>
      </c>
      <c r="AL53" s="321">
        <f t="shared" si="65"/>
      </c>
      <c r="AM53" s="282">
        <f t="shared" si="66"/>
      </c>
      <c r="AN53" s="103"/>
      <c r="AO53" s="119">
        <f t="shared" si="4"/>
        <v>0</v>
      </c>
      <c r="AP53" s="119">
        <f t="shared" si="67"/>
        <v>1</v>
      </c>
      <c r="AQ53" s="119">
        <f t="shared" si="68"/>
        <v>1</v>
      </c>
      <c r="AR53" s="119">
        <f>IF(OR(AO53+AP53+AQ53+GG53&gt;0,SUM($AO$30:AQ52)+GG52&gt;0),1,0)</f>
        <v>1</v>
      </c>
      <c r="AS53" s="119">
        <f t="shared" si="5"/>
      </c>
      <c r="AT53" s="119" t="str">
        <f t="shared" si="69"/>
        <v>符合「年齡滿65歲、年資滿15年」之屆齡退休擇領月退休金條件</v>
      </c>
      <c r="AU53" s="119">
        <f t="shared" si="70"/>
      </c>
      <c r="AV53" s="380" t="str">
        <f t="shared" si="71"/>
        <v>符合「年齡滿65歲、年資滿15年」之屆齡退休擇領月退休金條件</v>
      </c>
      <c r="AW53" s="120">
        <f t="shared" si="6"/>
        <v>0</v>
      </c>
      <c r="AX53" s="120">
        <f t="shared" si="7"/>
        <v>1</v>
      </c>
      <c r="AY53" s="120" t="str">
        <f t="shared" si="72"/>
        <v>符合</v>
      </c>
      <c r="AZ53" s="120">
        <f t="shared" si="8"/>
        <v>66</v>
      </c>
      <c r="BA53" s="120">
        <f t="shared" si="9"/>
        <v>20391231</v>
      </c>
      <c r="BB53" s="120" t="str">
        <f t="shared" si="10"/>
        <v>128.1.1~128.12.31</v>
      </c>
      <c r="BC53" s="121">
        <f t="shared" si="73"/>
      </c>
      <c r="BD53" s="122">
        <f t="shared" si="74"/>
      </c>
      <c r="BE53" s="122"/>
      <c r="BF53" s="120"/>
      <c r="BG53" s="123">
        <f t="shared" si="75"/>
      </c>
      <c r="BH53" s="31">
        <f t="shared" si="76"/>
        <v>1</v>
      </c>
      <c r="BI53" s="7">
        <f t="shared" si="77"/>
        <v>1</v>
      </c>
      <c r="BJ53" s="7">
        <f t="shared" si="78"/>
        <v>0</v>
      </c>
      <c r="BK53" s="124">
        <f t="shared" si="11"/>
        <v>0</v>
      </c>
      <c r="BL53" s="124">
        <f t="shared" si="79"/>
      </c>
      <c r="BM53" s="124">
        <f t="shared" si="80"/>
        <v>0</v>
      </c>
      <c r="BN53" s="124">
        <f t="shared" si="81"/>
      </c>
      <c r="BO53" s="124">
        <f t="shared" si="82"/>
        <v>0</v>
      </c>
      <c r="BP53" s="124">
        <f t="shared" si="12"/>
      </c>
      <c r="BQ53" s="33"/>
      <c r="BR53" s="33"/>
      <c r="BS53" s="33"/>
      <c r="BT53" s="33"/>
      <c r="BU53" s="30"/>
      <c r="BV53" s="30"/>
      <c r="BW53" s="30"/>
      <c r="BX53" s="30"/>
      <c r="BY53" s="30"/>
      <c r="BZ53" s="30"/>
      <c r="CA53" s="30"/>
      <c r="CB53" s="125"/>
      <c r="CC53" s="126"/>
      <c r="CD53" s="126"/>
      <c r="CE53" s="127"/>
      <c r="CF53" s="127"/>
      <c r="CG53" s="127"/>
      <c r="CH53" s="128"/>
      <c r="CI53" s="128"/>
      <c r="CJ53" s="128"/>
      <c r="CK53" s="183">
        <f t="shared" si="18"/>
        <v>13</v>
      </c>
      <c r="CL53" s="7">
        <f t="shared" si="19"/>
        <v>12</v>
      </c>
      <c r="CM53" s="20">
        <f t="shared" si="20"/>
        <v>128</v>
      </c>
      <c r="CN53" s="382">
        <f t="shared" si="83"/>
        <v>51121</v>
      </c>
      <c r="CO53" s="185">
        <f t="shared" si="84"/>
        <v>12</v>
      </c>
      <c r="CP53" s="2">
        <f t="shared" si="138"/>
        <v>17</v>
      </c>
      <c r="CQ53" s="382">
        <f t="shared" si="85"/>
        <v>51117</v>
      </c>
      <c r="CR53" s="185">
        <f t="shared" si="135"/>
        <v>12</v>
      </c>
      <c r="CS53" s="2">
        <f t="shared" si="136"/>
        <v>13</v>
      </c>
      <c r="CT53" s="2" t="str">
        <f t="shared" si="139"/>
        <v>初任</v>
      </c>
      <c r="CU53" s="382">
        <f t="shared" si="87"/>
        <v>51117</v>
      </c>
      <c r="CV53" s="2">
        <f t="shared" si="140"/>
        <v>12</v>
      </c>
      <c r="CW53" s="2" t="str">
        <f t="shared" si="141"/>
        <v>生日</v>
      </c>
      <c r="CX53" s="382">
        <f t="shared" si="90"/>
        <v>51121</v>
      </c>
      <c r="CY53" s="2">
        <f t="shared" si="142"/>
        <v>12</v>
      </c>
      <c r="CZ53" s="2">
        <f t="shared" si="22"/>
        <v>0</v>
      </c>
      <c r="DA53" s="2">
        <f t="shared" si="92"/>
      </c>
      <c r="DB53" s="2">
        <f t="shared" si="23"/>
      </c>
      <c r="DC53" s="2">
        <f t="shared" si="93"/>
      </c>
      <c r="DD53" s="2">
        <f t="shared" si="94"/>
      </c>
      <c r="DE53" s="2">
        <f t="shared" si="95"/>
      </c>
      <c r="DF53" s="2">
        <f t="shared" si="24"/>
      </c>
      <c r="DG53" s="129">
        <f t="shared" si="25"/>
      </c>
      <c r="DH53" s="2">
        <f t="shared" si="26"/>
      </c>
      <c r="DI53" s="2">
        <f t="shared" si="96"/>
      </c>
      <c r="DJ53" s="129">
        <f t="shared" si="97"/>
      </c>
      <c r="DK53" s="2">
        <f t="shared" si="27"/>
      </c>
      <c r="DL53" s="2">
        <f t="shared" si="98"/>
      </c>
      <c r="DM53" s="129">
        <f t="shared" si="99"/>
      </c>
      <c r="DN53" s="2">
        <f t="shared" si="28"/>
      </c>
      <c r="DO53" s="2">
        <f t="shared" si="29"/>
      </c>
      <c r="DP53" s="129">
        <f t="shared" si="100"/>
      </c>
      <c r="DQ53" s="2">
        <f t="shared" si="30"/>
      </c>
      <c r="DR53" s="2">
        <f t="shared" si="31"/>
      </c>
      <c r="DS53" s="129">
        <f t="shared" si="101"/>
      </c>
      <c r="DT53" s="2">
        <f t="shared" si="32"/>
      </c>
      <c r="DU53" s="2">
        <f t="shared" si="33"/>
      </c>
      <c r="DV53" s="129">
        <f t="shared" si="102"/>
      </c>
      <c r="DW53" s="2">
        <f t="shared" si="103"/>
      </c>
      <c r="DX53" s="2">
        <f t="shared" si="104"/>
      </c>
      <c r="DY53" s="129">
        <f t="shared" si="105"/>
      </c>
      <c r="DZ53" s="129"/>
      <c r="EA53" s="21">
        <f t="shared" si="106"/>
      </c>
      <c r="EB53" s="382">
        <f t="shared" si="107"/>
        <v>401769</v>
      </c>
      <c r="EC53" s="382">
        <f t="shared" si="108"/>
        <v>401769</v>
      </c>
      <c r="ED53" s="2">
        <f t="shared" si="109"/>
      </c>
      <c r="EE53" s="382">
        <f t="shared" si="110"/>
        <v>401769</v>
      </c>
      <c r="EF53" s="382">
        <f t="shared" si="111"/>
        <v>401769</v>
      </c>
      <c r="EG53" s="382">
        <f t="shared" si="112"/>
        <v>401769</v>
      </c>
      <c r="EH53" s="382"/>
      <c r="EI53" s="382">
        <f t="shared" si="113"/>
        <v>401769</v>
      </c>
      <c r="EJ53" s="208">
        <f t="shared" si="34"/>
        <v>401769</v>
      </c>
      <c r="EK53" s="2">
        <f t="shared" si="114"/>
      </c>
      <c r="EL53" s="2">
        <f t="shared" si="35"/>
      </c>
      <c r="EM53" s="34"/>
      <c r="EN53" s="7">
        <f t="shared" si="36"/>
        <v>1</v>
      </c>
      <c r="EO53" s="124">
        <f t="shared" si="37"/>
        <v>0</v>
      </c>
      <c r="EP53" s="214" t="str">
        <f t="shared" si="38"/>
        <v>●</v>
      </c>
      <c r="EQ53" s="213" t="str">
        <f t="shared" si="39"/>
        <v>●</v>
      </c>
      <c r="ER53" s="213" t="e">
        <f t="shared" si="40"/>
        <v>#VALUE!</v>
      </c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2">
        <f t="shared" si="41"/>
        <v>65</v>
      </c>
      <c r="FD53" s="20"/>
      <c r="FE53" s="20">
        <f t="shared" si="115"/>
        <v>128</v>
      </c>
      <c r="FF53" s="2">
        <f t="shared" si="116"/>
        <v>1</v>
      </c>
      <c r="FG53" s="2">
        <f t="shared" si="117"/>
        <v>1</v>
      </c>
      <c r="FH53" s="2">
        <f t="shared" si="118"/>
        <v>1</v>
      </c>
      <c r="FI53" s="2">
        <f t="shared" si="119"/>
        <v>1</v>
      </c>
      <c r="FJ53" s="20"/>
      <c r="FK53" s="326">
        <f t="shared" si="120"/>
        <v>0</v>
      </c>
      <c r="FL53" s="326">
        <f t="shared" si="121"/>
        <v>0</v>
      </c>
      <c r="FM53" s="326">
        <f t="shared" si="122"/>
        <v>0</v>
      </c>
      <c r="FN53" s="326">
        <f t="shared" si="123"/>
        <v>0</v>
      </c>
      <c r="FP53" s="326">
        <f t="shared" si="124"/>
      </c>
      <c r="FQ53" s="326">
        <f t="shared" si="125"/>
      </c>
      <c r="FR53" s="326">
        <f t="shared" si="126"/>
      </c>
      <c r="FS53" s="326">
        <f t="shared" si="127"/>
      </c>
      <c r="GF53" s="2">
        <v>65</v>
      </c>
      <c r="GG53" s="2">
        <f t="shared" si="128"/>
        <v>1</v>
      </c>
      <c r="GH53" s="2">
        <f t="shared" si="129"/>
      </c>
      <c r="GI53" s="20">
        <f t="shared" si="130"/>
      </c>
      <c r="GJ53" s="20" t="str">
        <f t="shared" si="42"/>
        <v>已逾屆齡退休限齡</v>
      </c>
      <c r="GK53" s="20" t="str">
        <f t="shared" si="131"/>
        <v>已逾屆齡退休限齡</v>
      </c>
    </row>
    <row r="54" spans="1:193" s="29" customFormat="1" ht="15" customHeight="1">
      <c r="A54" s="144"/>
      <c r="B54" s="150">
        <f t="shared" si="132"/>
        <v>129</v>
      </c>
      <c r="C54" s="26">
        <f t="shared" si="43"/>
        <v>20401231</v>
      </c>
      <c r="D54" s="26" t="str">
        <f t="shared" si="44"/>
        <v>2040</v>
      </c>
      <c r="E54" s="26" t="str">
        <f t="shared" si="45"/>
        <v>12</v>
      </c>
      <c r="F54" s="26" t="str">
        <f t="shared" si="46"/>
        <v>31</v>
      </c>
      <c r="G54" s="26" t="str">
        <f t="shared" si="47"/>
        <v>2040/12/31</v>
      </c>
      <c r="H54" s="117">
        <f t="shared" si="0"/>
        <v>47</v>
      </c>
      <c r="I54" s="117">
        <f t="shared" si="48"/>
        <v>0</v>
      </c>
      <c r="J54" s="26">
        <f t="shared" si="137"/>
        <v>18</v>
      </c>
      <c r="K54" s="118">
        <f t="shared" si="1"/>
        <v>47</v>
      </c>
      <c r="L54" s="118">
        <f t="shared" si="2"/>
        <v>0</v>
      </c>
      <c r="M54" s="118">
        <f t="shared" si="3"/>
        <v>18</v>
      </c>
      <c r="N54" s="606" t="str">
        <f t="shared" si="133"/>
        <v>129.1.1~129.12.31</v>
      </c>
      <c r="O54" s="607"/>
      <c r="P54" s="607"/>
      <c r="Q54" s="608"/>
      <c r="R54" s="300" t="str">
        <f t="shared" si="134"/>
        <v>65</v>
      </c>
      <c r="S54" s="338">
        <f t="shared" si="49"/>
        <v>67</v>
      </c>
      <c r="T54" s="339">
        <f t="shared" si="50"/>
        <v>47</v>
      </c>
      <c r="U54" s="204">
        <f t="shared" si="51"/>
        <v>114</v>
      </c>
      <c r="V54" s="341">
        <v>65</v>
      </c>
      <c r="W54" s="429">
        <f t="shared" si="52"/>
      </c>
      <c r="X54" s="430"/>
      <c r="Y54" s="431"/>
      <c r="Z54" s="230">
        <f t="shared" si="53"/>
      </c>
      <c r="AA54" s="220">
        <f t="shared" si="54"/>
      </c>
      <c r="AB54" s="393">
        <f t="shared" si="55"/>
      </c>
      <c r="AC54" s="393">
        <f t="shared" si="56"/>
      </c>
      <c r="AD54" s="220">
        <f t="shared" si="57"/>
      </c>
      <c r="AE54" s="220">
        <f t="shared" si="58"/>
      </c>
      <c r="AF54" s="231">
        <f t="shared" si="59"/>
      </c>
      <c r="AG54" s="310">
        <f t="shared" si="60"/>
      </c>
      <c r="AH54" s="228">
        <f t="shared" si="61"/>
      </c>
      <c r="AI54" s="321">
        <f t="shared" si="62"/>
      </c>
      <c r="AJ54" s="321">
        <f t="shared" si="63"/>
      </c>
      <c r="AK54" s="321">
        <f t="shared" si="64"/>
      </c>
      <c r="AL54" s="321">
        <f t="shared" si="65"/>
      </c>
      <c r="AM54" s="282">
        <f t="shared" si="66"/>
      </c>
      <c r="AN54" s="103"/>
      <c r="AO54" s="119">
        <f t="shared" si="4"/>
        <v>0</v>
      </c>
      <c r="AP54" s="119">
        <f t="shared" si="67"/>
        <v>1</v>
      </c>
      <c r="AQ54" s="119">
        <f t="shared" si="68"/>
        <v>1</v>
      </c>
      <c r="AR54" s="119">
        <f>IF(OR(AO54+AP54+AQ54+GG54&gt;0,SUM($AO$30:AQ53)+GG53&gt;0),1,0)</f>
        <v>1</v>
      </c>
      <c r="AS54" s="119">
        <f t="shared" si="5"/>
      </c>
      <c r="AT54" s="119" t="str">
        <f t="shared" si="69"/>
        <v>符合「年齡滿65歲、年資滿15年」之屆齡退休擇領月退休金條件</v>
      </c>
      <c r="AU54" s="119">
        <f t="shared" si="70"/>
      </c>
      <c r="AV54" s="380" t="str">
        <f t="shared" si="71"/>
        <v>符合「年齡滿65歲、年資滿15年」之屆齡退休擇領月退休金條件</v>
      </c>
      <c r="AW54" s="120">
        <f t="shared" si="6"/>
        <v>0</v>
      </c>
      <c r="AX54" s="120">
        <f t="shared" si="7"/>
        <v>1</v>
      </c>
      <c r="AY54" s="120" t="str">
        <f t="shared" si="72"/>
        <v>符合</v>
      </c>
      <c r="AZ54" s="120">
        <f t="shared" si="8"/>
        <v>67</v>
      </c>
      <c r="BA54" s="120">
        <f t="shared" si="9"/>
        <v>20401231</v>
      </c>
      <c r="BB54" s="120" t="str">
        <f t="shared" si="10"/>
        <v>129.1.1~129.12.31</v>
      </c>
      <c r="BC54" s="121">
        <f t="shared" si="73"/>
      </c>
      <c r="BD54" s="122">
        <f t="shared" si="74"/>
      </c>
      <c r="BE54" s="122"/>
      <c r="BF54" s="120"/>
      <c r="BG54" s="123">
        <f t="shared" si="75"/>
      </c>
      <c r="BH54" s="31">
        <f t="shared" si="76"/>
        <v>1</v>
      </c>
      <c r="BI54" s="7">
        <f t="shared" si="77"/>
        <v>1</v>
      </c>
      <c r="BJ54" s="7">
        <f t="shared" si="78"/>
        <v>0</v>
      </c>
      <c r="BK54" s="124">
        <f t="shared" si="11"/>
        <v>0</v>
      </c>
      <c r="BL54" s="124">
        <f t="shared" si="79"/>
      </c>
      <c r="BM54" s="124">
        <f t="shared" si="80"/>
        <v>0</v>
      </c>
      <c r="BN54" s="124">
        <f t="shared" si="81"/>
      </c>
      <c r="BO54" s="124">
        <f t="shared" si="82"/>
        <v>0</v>
      </c>
      <c r="BP54" s="124">
        <f t="shared" si="12"/>
      </c>
      <c r="BQ54" s="33"/>
      <c r="BR54" s="33"/>
      <c r="BS54" s="33"/>
      <c r="BT54" s="33"/>
      <c r="BU54" s="30"/>
      <c r="BV54" s="30"/>
      <c r="BW54" s="30"/>
      <c r="BX54" s="30"/>
      <c r="BY54" s="30"/>
      <c r="BZ54" s="30"/>
      <c r="CA54" s="30"/>
      <c r="CB54" s="125"/>
      <c r="CC54" s="126"/>
      <c r="CD54" s="126"/>
      <c r="CE54" s="127"/>
      <c r="CF54" s="127"/>
      <c r="CG54" s="127"/>
      <c r="CH54" s="128"/>
      <c r="CI54" s="128"/>
      <c r="CJ54" s="128"/>
      <c r="CK54" s="183">
        <f t="shared" si="18"/>
        <v>13</v>
      </c>
      <c r="CL54" s="7">
        <f t="shared" si="19"/>
        <v>12</v>
      </c>
      <c r="CM54" s="20">
        <f t="shared" si="20"/>
        <v>129</v>
      </c>
      <c r="CN54" s="382">
        <f t="shared" si="83"/>
        <v>51487</v>
      </c>
      <c r="CO54" s="185">
        <f t="shared" si="84"/>
        <v>12</v>
      </c>
      <c r="CP54" s="2">
        <f t="shared" si="138"/>
        <v>17</v>
      </c>
      <c r="CQ54" s="382">
        <f t="shared" si="85"/>
        <v>51483</v>
      </c>
      <c r="CR54" s="185">
        <f t="shared" si="135"/>
        <v>12</v>
      </c>
      <c r="CS54" s="2">
        <f t="shared" si="136"/>
        <v>13</v>
      </c>
      <c r="CT54" s="2" t="str">
        <f t="shared" si="139"/>
        <v>初任</v>
      </c>
      <c r="CU54" s="382">
        <f t="shared" si="87"/>
        <v>51483</v>
      </c>
      <c r="CV54" s="2">
        <f t="shared" si="140"/>
        <v>12</v>
      </c>
      <c r="CW54" s="2" t="str">
        <f t="shared" si="141"/>
        <v>生日</v>
      </c>
      <c r="CX54" s="382">
        <f t="shared" si="90"/>
        <v>51487</v>
      </c>
      <c r="CY54" s="2">
        <f t="shared" si="142"/>
        <v>12</v>
      </c>
      <c r="CZ54" s="2">
        <f t="shared" si="22"/>
        <v>0</v>
      </c>
      <c r="DA54" s="2">
        <f t="shared" si="92"/>
      </c>
      <c r="DB54" s="2">
        <f t="shared" si="23"/>
      </c>
      <c r="DC54" s="2">
        <f t="shared" si="93"/>
      </c>
      <c r="DD54" s="2">
        <f t="shared" si="94"/>
      </c>
      <c r="DE54" s="2">
        <f t="shared" si="95"/>
      </c>
      <c r="DF54" s="2">
        <f t="shared" si="24"/>
      </c>
      <c r="DG54" s="129">
        <f t="shared" si="25"/>
      </c>
      <c r="DH54" s="2">
        <f t="shared" si="26"/>
      </c>
      <c r="DI54" s="2">
        <f t="shared" si="96"/>
      </c>
      <c r="DJ54" s="129">
        <f t="shared" si="97"/>
      </c>
      <c r="DK54" s="2">
        <f t="shared" si="27"/>
      </c>
      <c r="DL54" s="2">
        <f t="shared" si="98"/>
      </c>
      <c r="DM54" s="129">
        <f t="shared" si="99"/>
      </c>
      <c r="DN54" s="2">
        <f t="shared" si="28"/>
      </c>
      <c r="DO54" s="2">
        <f t="shared" si="29"/>
      </c>
      <c r="DP54" s="129">
        <f t="shared" si="100"/>
      </c>
      <c r="DQ54" s="2">
        <f t="shared" si="30"/>
      </c>
      <c r="DR54" s="2">
        <f t="shared" si="31"/>
      </c>
      <c r="DS54" s="129">
        <f t="shared" si="101"/>
      </c>
      <c r="DT54" s="2">
        <f t="shared" si="32"/>
      </c>
      <c r="DU54" s="2">
        <f t="shared" si="33"/>
      </c>
      <c r="DV54" s="129">
        <f t="shared" si="102"/>
      </c>
      <c r="DW54" s="2">
        <f t="shared" si="103"/>
      </c>
      <c r="DX54" s="2">
        <f t="shared" si="104"/>
      </c>
      <c r="DY54" s="129">
        <f t="shared" si="105"/>
      </c>
      <c r="DZ54" s="129"/>
      <c r="EA54" s="21">
        <f t="shared" si="106"/>
      </c>
      <c r="EB54" s="382">
        <f t="shared" si="107"/>
        <v>401769</v>
      </c>
      <c r="EC54" s="382">
        <f t="shared" si="108"/>
        <v>401769</v>
      </c>
      <c r="ED54" s="2">
        <f t="shared" si="109"/>
      </c>
      <c r="EE54" s="382">
        <f t="shared" si="110"/>
        <v>401769</v>
      </c>
      <c r="EF54" s="382">
        <f t="shared" si="111"/>
        <v>401769</v>
      </c>
      <c r="EG54" s="382">
        <f t="shared" si="112"/>
        <v>401769</v>
      </c>
      <c r="EH54" s="382"/>
      <c r="EI54" s="382">
        <f t="shared" si="113"/>
        <v>401769</v>
      </c>
      <c r="EJ54" s="208">
        <f t="shared" si="34"/>
        <v>401769</v>
      </c>
      <c r="EK54" s="2">
        <f t="shared" si="114"/>
      </c>
      <c r="EL54" s="2">
        <f t="shared" si="35"/>
      </c>
      <c r="EM54" s="34"/>
      <c r="EN54" s="7">
        <f t="shared" si="36"/>
        <v>1</v>
      </c>
      <c r="EO54" s="124">
        <f t="shared" si="37"/>
        <v>0</v>
      </c>
      <c r="EP54" s="214" t="str">
        <f t="shared" si="38"/>
        <v>●</v>
      </c>
      <c r="EQ54" s="213" t="str">
        <f t="shared" si="39"/>
        <v>●</v>
      </c>
      <c r="ER54" s="213" t="e">
        <f t="shared" si="40"/>
        <v>#VALUE!</v>
      </c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2">
        <f t="shared" si="41"/>
        <v>65</v>
      </c>
      <c r="FD54" s="20"/>
      <c r="FE54" s="20">
        <f t="shared" si="115"/>
        <v>129</v>
      </c>
      <c r="FF54" s="2">
        <f t="shared" si="116"/>
        <v>1</v>
      </c>
      <c r="FG54" s="2">
        <f t="shared" si="117"/>
        <v>1</v>
      </c>
      <c r="FH54" s="2">
        <f t="shared" si="118"/>
        <v>1</v>
      </c>
      <c r="FI54" s="2">
        <f t="shared" si="119"/>
        <v>1</v>
      </c>
      <c r="FJ54" s="20"/>
      <c r="FK54" s="326">
        <f t="shared" si="120"/>
        <v>0</v>
      </c>
      <c r="FL54" s="326">
        <f t="shared" si="121"/>
        <v>0</v>
      </c>
      <c r="FM54" s="326">
        <f t="shared" si="122"/>
        <v>0</v>
      </c>
      <c r="FN54" s="326">
        <f t="shared" si="123"/>
        <v>0</v>
      </c>
      <c r="FP54" s="326">
        <f t="shared" si="124"/>
      </c>
      <c r="FQ54" s="326">
        <f t="shared" si="125"/>
      </c>
      <c r="FR54" s="326">
        <f t="shared" si="126"/>
      </c>
      <c r="FS54" s="326">
        <f t="shared" si="127"/>
      </c>
      <c r="GF54" s="2">
        <v>65</v>
      </c>
      <c r="GG54" s="2">
        <f t="shared" si="128"/>
        <v>1</v>
      </c>
      <c r="GH54" s="2">
        <f t="shared" si="129"/>
      </c>
      <c r="GI54" s="20">
        <f t="shared" si="130"/>
      </c>
      <c r="GJ54" s="20">
        <f t="shared" si="42"/>
      </c>
      <c r="GK54" s="20">
        <f t="shared" si="131"/>
      </c>
    </row>
    <row r="55" spans="1:193" s="29" customFormat="1" ht="15" customHeight="1">
      <c r="A55" s="144"/>
      <c r="B55" s="150">
        <f t="shared" si="132"/>
        <v>130</v>
      </c>
      <c r="C55" s="26">
        <f t="shared" si="43"/>
        <v>20411231</v>
      </c>
      <c r="D55" s="26" t="str">
        <f t="shared" si="44"/>
        <v>2041</v>
      </c>
      <c r="E55" s="26" t="str">
        <f t="shared" si="45"/>
        <v>12</v>
      </c>
      <c r="F55" s="26" t="str">
        <f t="shared" si="46"/>
        <v>31</v>
      </c>
      <c r="G55" s="26" t="str">
        <f t="shared" si="47"/>
        <v>2041/12/31</v>
      </c>
      <c r="H55" s="117">
        <f t="shared" si="0"/>
        <v>48</v>
      </c>
      <c r="I55" s="117">
        <f t="shared" si="48"/>
        <v>0</v>
      </c>
      <c r="J55" s="26">
        <f t="shared" si="137"/>
        <v>18</v>
      </c>
      <c r="K55" s="118">
        <f t="shared" si="1"/>
        <v>48</v>
      </c>
      <c r="L55" s="118">
        <f t="shared" si="2"/>
        <v>0</v>
      </c>
      <c r="M55" s="118">
        <f t="shared" si="3"/>
        <v>18</v>
      </c>
      <c r="N55" s="606" t="str">
        <f t="shared" si="133"/>
        <v>130.1.1~130.12.31</v>
      </c>
      <c r="O55" s="607"/>
      <c r="P55" s="607"/>
      <c r="Q55" s="608"/>
      <c r="R55" s="300" t="str">
        <f t="shared" si="134"/>
        <v>65</v>
      </c>
      <c r="S55" s="338">
        <f t="shared" si="49"/>
        <v>68</v>
      </c>
      <c r="T55" s="339">
        <f t="shared" si="50"/>
        <v>48</v>
      </c>
      <c r="U55" s="204">
        <f t="shared" si="51"/>
        <v>116</v>
      </c>
      <c r="V55" s="341">
        <v>65</v>
      </c>
      <c r="W55" s="429">
        <f t="shared" si="52"/>
      </c>
      <c r="X55" s="430"/>
      <c r="Y55" s="431"/>
      <c r="Z55" s="230">
        <f t="shared" si="53"/>
      </c>
      <c r="AA55" s="220">
        <f t="shared" si="54"/>
      </c>
      <c r="AB55" s="393">
        <f t="shared" si="55"/>
      </c>
      <c r="AC55" s="393">
        <f t="shared" si="56"/>
      </c>
      <c r="AD55" s="220">
        <f t="shared" si="57"/>
      </c>
      <c r="AE55" s="220">
        <f t="shared" si="58"/>
      </c>
      <c r="AF55" s="231">
        <f t="shared" si="59"/>
      </c>
      <c r="AG55" s="310">
        <f t="shared" si="60"/>
      </c>
      <c r="AH55" s="228">
        <f t="shared" si="61"/>
      </c>
      <c r="AI55" s="321">
        <f t="shared" si="62"/>
      </c>
      <c r="AJ55" s="321">
        <f t="shared" si="63"/>
      </c>
      <c r="AK55" s="321">
        <f t="shared" si="64"/>
      </c>
      <c r="AL55" s="321">
        <f t="shared" si="65"/>
      </c>
      <c r="AM55" s="282">
        <f t="shared" si="66"/>
      </c>
      <c r="AN55" s="103"/>
      <c r="AO55" s="119">
        <f t="shared" si="4"/>
        <v>0</v>
      </c>
      <c r="AP55" s="119">
        <f t="shared" si="67"/>
        <v>1</v>
      </c>
      <c r="AQ55" s="119">
        <f t="shared" si="68"/>
        <v>1</v>
      </c>
      <c r="AR55" s="119">
        <f>IF(OR(AO55+AP55+AQ55+GG55&gt;0,SUM($AO$30:AQ54)+GG54&gt;0),1,0)</f>
        <v>1</v>
      </c>
      <c r="AS55" s="119">
        <f t="shared" si="5"/>
      </c>
      <c r="AT55" s="119" t="str">
        <f t="shared" si="69"/>
        <v>符合「年齡滿65歲、年資滿15年」之屆齡退休擇領月退休金條件</v>
      </c>
      <c r="AU55" s="119">
        <f t="shared" si="70"/>
      </c>
      <c r="AV55" s="380" t="str">
        <f t="shared" si="71"/>
        <v>符合「年齡滿65歲、年資滿15年」之屆齡退休擇領月退休金條件</v>
      </c>
      <c r="AW55" s="120">
        <f t="shared" si="6"/>
        <v>0</v>
      </c>
      <c r="AX55" s="120">
        <f t="shared" si="7"/>
        <v>1</v>
      </c>
      <c r="AY55" s="120" t="str">
        <f t="shared" si="72"/>
        <v>符合</v>
      </c>
      <c r="AZ55" s="120">
        <f t="shared" si="8"/>
        <v>68</v>
      </c>
      <c r="BA55" s="120">
        <f t="shared" si="9"/>
        <v>20411231</v>
      </c>
      <c r="BB55" s="120" t="str">
        <f t="shared" si="10"/>
        <v>130.1.1~130.12.31</v>
      </c>
      <c r="BC55" s="121">
        <f t="shared" si="73"/>
      </c>
      <c r="BD55" s="122">
        <f t="shared" si="74"/>
      </c>
      <c r="BE55" s="122"/>
      <c r="BF55" s="120"/>
      <c r="BG55" s="123">
        <f t="shared" si="75"/>
      </c>
      <c r="BH55" s="31">
        <f t="shared" si="76"/>
        <v>1</v>
      </c>
      <c r="BI55" s="7">
        <f t="shared" si="77"/>
        <v>1</v>
      </c>
      <c r="BJ55" s="7">
        <f t="shared" si="78"/>
        <v>0</v>
      </c>
      <c r="BK55" s="124">
        <f t="shared" si="11"/>
        <v>0</v>
      </c>
      <c r="BL55" s="124">
        <f t="shared" si="79"/>
      </c>
      <c r="BM55" s="124">
        <f t="shared" si="80"/>
        <v>0</v>
      </c>
      <c r="BN55" s="124">
        <f t="shared" si="81"/>
      </c>
      <c r="BO55" s="124">
        <f t="shared" si="82"/>
        <v>0</v>
      </c>
      <c r="BP55" s="124">
        <f t="shared" si="12"/>
      </c>
      <c r="BQ55" s="33"/>
      <c r="BR55" s="33"/>
      <c r="BS55" s="33"/>
      <c r="BT55" s="33"/>
      <c r="BU55" s="30"/>
      <c r="BV55" s="30"/>
      <c r="BW55" s="30"/>
      <c r="BX55" s="30"/>
      <c r="BY55" s="30"/>
      <c r="BZ55" s="30"/>
      <c r="CA55" s="30"/>
      <c r="CB55" s="125"/>
      <c r="CC55" s="126"/>
      <c r="CD55" s="126"/>
      <c r="CE55" s="127"/>
      <c r="CF55" s="127"/>
      <c r="CG55" s="127"/>
      <c r="CH55" s="128"/>
      <c r="CI55" s="128"/>
      <c r="CJ55" s="128"/>
      <c r="CK55" s="183">
        <f t="shared" si="18"/>
        <v>13</v>
      </c>
      <c r="CL55" s="7">
        <f t="shared" si="19"/>
        <v>12</v>
      </c>
      <c r="CM55" s="20">
        <f t="shared" si="20"/>
        <v>130</v>
      </c>
      <c r="CN55" s="382">
        <f t="shared" si="83"/>
        <v>51852</v>
      </c>
      <c r="CO55" s="185">
        <f t="shared" si="84"/>
        <v>12</v>
      </c>
      <c r="CP55" s="2">
        <f t="shared" si="138"/>
        <v>17</v>
      </c>
      <c r="CQ55" s="382">
        <f t="shared" si="85"/>
        <v>51848</v>
      </c>
      <c r="CR55" s="185">
        <f t="shared" si="135"/>
        <v>12</v>
      </c>
      <c r="CS55" s="2">
        <f t="shared" si="136"/>
        <v>13</v>
      </c>
      <c r="CT55" s="2" t="str">
        <f t="shared" si="139"/>
        <v>初任</v>
      </c>
      <c r="CU55" s="382">
        <f t="shared" si="87"/>
        <v>51848</v>
      </c>
      <c r="CV55" s="2">
        <f t="shared" si="140"/>
        <v>12</v>
      </c>
      <c r="CW55" s="2" t="str">
        <f t="shared" si="141"/>
        <v>生日</v>
      </c>
      <c r="CX55" s="382">
        <f t="shared" si="90"/>
        <v>51852</v>
      </c>
      <c r="CY55" s="2">
        <f t="shared" si="142"/>
        <v>12</v>
      </c>
      <c r="CZ55" s="2">
        <f t="shared" si="22"/>
        <v>0</v>
      </c>
      <c r="DA55" s="2">
        <f t="shared" si="92"/>
      </c>
      <c r="DB55" s="2">
        <f t="shared" si="23"/>
      </c>
      <c r="DC55" s="2">
        <f t="shared" si="93"/>
      </c>
      <c r="DD55" s="2">
        <f t="shared" si="94"/>
      </c>
      <c r="DE55" s="2">
        <f t="shared" si="95"/>
      </c>
      <c r="DF55" s="2">
        <f t="shared" si="24"/>
      </c>
      <c r="DG55" s="129">
        <f t="shared" si="25"/>
      </c>
      <c r="DH55" s="2">
        <f t="shared" si="26"/>
      </c>
      <c r="DI55" s="2">
        <f t="shared" si="96"/>
      </c>
      <c r="DJ55" s="129">
        <f t="shared" si="97"/>
      </c>
      <c r="DK55" s="2">
        <f t="shared" si="27"/>
      </c>
      <c r="DL55" s="2">
        <f t="shared" si="98"/>
      </c>
      <c r="DM55" s="129">
        <f t="shared" si="99"/>
      </c>
      <c r="DN55" s="2">
        <f t="shared" si="28"/>
      </c>
      <c r="DO55" s="2">
        <f t="shared" si="29"/>
      </c>
      <c r="DP55" s="129">
        <f t="shared" si="100"/>
      </c>
      <c r="DQ55" s="2">
        <f t="shared" si="30"/>
      </c>
      <c r="DR55" s="2">
        <f t="shared" si="31"/>
      </c>
      <c r="DS55" s="129">
        <f t="shared" si="101"/>
      </c>
      <c r="DT55" s="2">
        <f t="shared" si="32"/>
      </c>
      <c r="DU55" s="2">
        <f t="shared" si="33"/>
      </c>
      <c r="DV55" s="129">
        <f t="shared" si="102"/>
      </c>
      <c r="DW55" s="2">
        <f t="shared" si="103"/>
      </c>
      <c r="DX55" s="2">
        <f t="shared" si="104"/>
      </c>
      <c r="DY55" s="129">
        <f t="shared" si="105"/>
      </c>
      <c r="DZ55" s="129"/>
      <c r="EA55" s="21">
        <f t="shared" si="106"/>
      </c>
      <c r="EB55" s="382">
        <f t="shared" si="107"/>
        <v>401769</v>
      </c>
      <c r="EC55" s="382">
        <f t="shared" si="108"/>
        <v>401769</v>
      </c>
      <c r="ED55" s="2">
        <f t="shared" si="109"/>
      </c>
      <c r="EE55" s="382">
        <f t="shared" si="110"/>
        <v>401769</v>
      </c>
      <c r="EF55" s="382">
        <f t="shared" si="111"/>
        <v>401769</v>
      </c>
      <c r="EG55" s="382">
        <f t="shared" si="112"/>
        <v>401769</v>
      </c>
      <c r="EH55" s="382"/>
      <c r="EI55" s="382">
        <f t="shared" si="113"/>
        <v>401769</v>
      </c>
      <c r="EJ55" s="208">
        <f t="shared" si="34"/>
        <v>401769</v>
      </c>
      <c r="EK55" s="2">
        <f t="shared" si="114"/>
      </c>
      <c r="EL55" s="2">
        <f t="shared" si="35"/>
      </c>
      <c r="EM55" s="34"/>
      <c r="EN55" s="7">
        <f t="shared" si="36"/>
        <v>1</v>
      </c>
      <c r="EO55" s="124">
        <f t="shared" si="37"/>
        <v>0</v>
      </c>
      <c r="EP55" s="214" t="str">
        <f t="shared" si="38"/>
        <v>●</v>
      </c>
      <c r="EQ55" s="213" t="str">
        <f t="shared" si="39"/>
        <v>●</v>
      </c>
      <c r="ER55" s="213" t="e">
        <f t="shared" si="40"/>
        <v>#VALUE!</v>
      </c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2">
        <f t="shared" si="41"/>
        <v>65</v>
      </c>
      <c r="FD55" s="20"/>
      <c r="FE55" s="20">
        <f t="shared" si="115"/>
        <v>130</v>
      </c>
      <c r="FF55" s="2">
        <f t="shared" si="116"/>
        <v>1</v>
      </c>
      <c r="FG55" s="2">
        <f t="shared" si="117"/>
        <v>1</v>
      </c>
      <c r="FH55" s="2">
        <f t="shared" si="118"/>
        <v>1</v>
      </c>
      <c r="FI55" s="2">
        <f t="shared" si="119"/>
        <v>1</v>
      </c>
      <c r="FJ55" s="20"/>
      <c r="FK55" s="326">
        <f t="shared" si="120"/>
        <v>0</v>
      </c>
      <c r="FL55" s="326">
        <f t="shared" si="121"/>
        <v>0</v>
      </c>
      <c r="FM55" s="326">
        <f t="shared" si="122"/>
        <v>0</v>
      </c>
      <c r="FN55" s="326">
        <f t="shared" si="123"/>
        <v>0</v>
      </c>
      <c r="FP55" s="326">
        <f t="shared" si="124"/>
      </c>
      <c r="FQ55" s="326">
        <f t="shared" si="125"/>
      </c>
      <c r="FR55" s="326">
        <f t="shared" si="126"/>
      </c>
      <c r="FS55" s="326">
        <f t="shared" si="127"/>
      </c>
      <c r="GF55" s="2">
        <v>65</v>
      </c>
      <c r="GG55" s="2">
        <f t="shared" si="128"/>
        <v>1</v>
      </c>
      <c r="GH55" s="2">
        <f t="shared" si="129"/>
      </c>
      <c r="GI55" s="20">
        <f t="shared" si="130"/>
      </c>
      <c r="GJ55" s="20">
        <f t="shared" si="42"/>
      </c>
      <c r="GK55" s="20">
        <f t="shared" si="131"/>
      </c>
    </row>
    <row r="56" spans="1:193" s="29" customFormat="1" ht="15" customHeight="1">
      <c r="A56" s="144"/>
      <c r="B56" s="150">
        <f t="shared" si="132"/>
        <v>131</v>
      </c>
      <c r="C56" s="26">
        <f t="shared" si="43"/>
        <v>20421231</v>
      </c>
      <c r="D56" s="26" t="str">
        <f t="shared" si="44"/>
        <v>2042</v>
      </c>
      <c r="E56" s="26" t="str">
        <f t="shared" si="45"/>
        <v>12</v>
      </c>
      <c r="F56" s="26" t="str">
        <f t="shared" si="46"/>
        <v>31</v>
      </c>
      <c r="G56" s="26" t="str">
        <f t="shared" si="47"/>
        <v>2042/12/31</v>
      </c>
      <c r="H56" s="117">
        <f t="shared" si="0"/>
        <v>49</v>
      </c>
      <c r="I56" s="117">
        <f t="shared" si="48"/>
        <v>0</v>
      </c>
      <c r="J56" s="26">
        <f t="shared" si="137"/>
        <v>18</v>
      </c>
      <c r="K56" s="118">
        <f t="shared" si="1"/>
        <v>49</v>
      </c>
      <c r="L56" s="118">
        <f t="shared" si="2"/>
        <v>0</v>
      </c>
      <c r="M56" s="118">
        <f t="shared" si="3"/>
        <v>18</v>
      </c>
      <c r="N56" s="606" t="str">
        <f t="shared" si="133"/>
        <v>131.1.1~131.12.31</v>
      </c>
      <c r="O56" s="607"/>
      <c r="P56" s="607"/>
      <c r="Q56" s="608"/>
      <c r="R56" s="300" t="str">
        <f t="shared" si="134"/>
        <v>65</v>
      </c>
      <c r="S56" s="338">
        <f t="shared" si="49"/>
        <v>69</v>
      </c>
      <c r="T56" s="339">
        <f t="shared" si="50"/>
        <v>49</v>
      </c>
      <c r="U56" s="204">
        <f t="shared" si="51"/>
        <v>118</v>
      </c>
      <c r="V56" s="341">
        <v>65</v>
      </c>
      <c r="W56" s="429">
        <f t="shared" si="52"/>
      </c>
      <c r="X56" s="430"/>
      <c r="Y56" s="431"/>
      <c r="Z56" s="230">
        <f t="shared" si="53"/>
      </c>
      <c r="AA56" s="220">
        <f t="shared" si="54"/>
      </c>
      <c r="AB56" s="393">
        <f t="shared" si="55"/>
      </c>
      <c r="AC56" s="393">
        <f t="shared" si="56"/>
      </c>
      <c r="AD56" s="220">
        <f t="shared" si="57"/>
      </c>
      <c r="AE56" s="220">
        <f t="shared" si="58"/>
      </c>
      <c r="AF56" s="231">
        <f t="shared" si="59"/>
      </c>
      <c r="AG56" s="310">
        <f t="shared" si="60"/>
      </c>
      <c r="AH56" s="228">
        <f t="shared" si="61"/>
      </c>
      <c r="AI56" s="321">
        <f t="shared" si="62"/>
      </c>
      <c r="AJ56" s="321">
        <f t="shared" si="63"/>
      </c>
      <c r="AK56" s="321">
        <f t="shared" si="64"/>
      </c>
      <c r="AL56" s="321">
        <f t="shared" si="65"/>
      </c>
      <c r="AM56" s="282">
        <f t="shared" si="66"/>
      </c>
      <c r="AN56" s="103"/>
      <c r="AO56" s="119">
        <f t="shared" si="4"/>
        <v>0</v>
      </c>
      <c r="AP56" s="119">
        <f t="shared" si="67"/>
        <v>1</v>
      </c>
      <c r="AQ56" s="119">
        <f t="shared" si="68"/>
        <v>1</v>
      </c>
      <c r="AR56" s="119">
        <f>IF(OR(AO56+AP56+AQ56+GG56&gt;0,SUM($AO$30:AQ55)+GG55&gt;0),1,0)</f>
        <v>1</v>
      </c>
      <c r="AS56" s="119">
        <f t="shared" si="5"/>
      </c>
      <c r="AT56" s="119" t="str">
        <f t="shared" si="69"/>
        <v>符合「年齡滿65歲、年資滿15年」之屆齡退休擇領月退休金條件</v>
      </c>
      <c r="AU56" s="119">
        <f t="shared" si="70"/>
      </c>
      <c r="AV56" s="380" t="str">
        <f t="shared" si="71"/>
        <v>符合「年齡滿65歲、年資滿15年」之屆齡退休擇領月退休金條件</v>
      </c>
      <c r="AW56" s="120">
        <f t="shared" si="6"/>
        <v>0</v>
      </c>
      <c r="AX56" s="120">
        <f t="shared" si="7"/>
        <v>1</v>
      </c>
      <c r="AY56" s="120" t="str">
        <f t="shared" si="72"/>
        <v>符合</v>
      </c>
      <c r="AZ56" s="120">
        <f t="shared" si="8"/>
        <v>69</v>
      </c>
      <c r="BA56" s="120">
        <f t="shared" si="9"/>
        <v>20421231</v>
      </c>
      <c r="BB56" s="120" t="str">
        <f t="shared" si="10"/>
        <v>131.1.1~131.12.31</v>
      </c>
      <c r="BC56" s="121">
        <f t="shared" si="73"/>
      </c>
      <c r="BD56" s="122">
        <f t="shared" si="74"/>
      </c>
      <c r="BE56" s="122"/>
      <c r="BF56" s="120"/>
      <c r="BG56" s="123">
        <f t="shared" si="75"/>
      </c>
      <c r="BH56" s="31">
        <f t="shared" si="76"/>
        <v>1</v>
      </c>
      <c r="BI56" s="7">
        <f t="shared" si="77"/>
        <v>1</v>
      </c>
      <c r="BJ56" s="7">
        <f t="shared" si="78"/>
        <v>0</v>
      </c>
      <c r="BK56" s="124">
        <f t="shared" si="11"/>
        <v>0</v>
      </c>
      <c r="BL56" s="124">
        <f t="shared" si="79"/>
      </c>
      <c r="BM56" s="124">
        <f t="shared" si="80"/>
        <v>0</v>
      </c>
      <c r="BN56" s="124">
        <f t="shared" si="81"/>
      </c>
      <c r="BO56" s="124">
        <f t="shared" si="82"/>
        <v>0</v>
      </c>
      <c r="BP56" s="124">
        <f t="shared" si="12"/>
      </c>
      <c r="BQ56" s="33"/>
      <c r="BR56" s="33"/>
      <c r="BS56" s="33"/>
      <c r="BT56" s="33"/>
      <c r="BU56" s="30"/>
      <c r="BV56" s="30"/>
      <c r="BW56" s="30"/>
      <c r="BX56" s="30"/>
      <c r="BY56" s="30"/>
      <c r="BZ56" s="30"/>
      <c r="CA56" s="30"/>
      <c r="CB56" s="125"/>
      <c r="CC56" s="126"/>
      <c r="CD56" s="126"/>
      <c r="CE56" s="127"/>
      <c r="CF56" s="127"/>
      <c r="CG56" s="127"/>
      <c r="CH56" s="128"/>
      <c r="CI56" s="128"/>
      <c r="CJ56" s="128"/>
      <c r="CK56" s="183">
        <f t="shared" si="18"/>
        <v>13</v>
      </c>
      <c r="CL56" s="7">
        <f t="shared" si="19"/>
        <v>12</v>
      </c>
      <c r="CM56" s="20">
        <f t="shared" si="20"/>
        <v>131</v>
      </c>
      <c r="CN56" s="382">
        <f t="shared" si="83"/>
        <v>52217</v>
      </c>
      <c r="CO56" s="185">
        <f t="shared" si="84"/>
        <v>12</v>
      </c>
      <c r="CP56" s="2">
        <f t="shared" si="138"/>
        <v>17</v>
      </c>
      <c r="CQ56" s="382">
        <f t="shared" si="85"/>
        <v>52213</v>
      </c>
      <c r="CR56" s="185">
        <f t="shared" si="135"/>
        <v>12</v>
      </c>
      <c r="CS56" s="2">
        <f t="shared" si="136"/>
        <v>13</v>
      </c>
      <c r="CT56" s="2" t="str">
        <f t="shared" si="139"/>
        <v>初任</v>
      </c>
      <c r="CU56" s="382">
        <f t="shared" si="87"/>
        <v>52213</v>
      </c>
      <c r="CV56" s="2">
        <f t="shared" si="140"/>
        <v>12</v>
      </c>
      <c r="CW56" s="2" t="str">
        <f t="shared" si="141"/>
        <v>生日</v>
      </c>
      <c r="CX56" s="382">
        <f t="shared" si="90"/>
        <v>52217</v>
      </c>
      <c r="CY56" s="2">
        <f t="shared" si="142"/>
        <v>12</v>
      </c>
      <c r="CZ56" s="2">
        <f t="shared" si="22"/>
        <v>0</v>
      </c>
      <c r="DA56" s="2">
        <f t="shared" si="92"/>
      </c>
      <c r="DB56" s="2">
        <f t="shared" si="23"/>
      </c>
      <c r="DC56" s="2">
        <f t="shared" si="93"/>
      </c>
      <c r="DD56" s="2">
        <f t="shared" si="94"/>
      </c>
      <c r="DE56" s="2">
        <f t="shared" si="95"/>
      </c>
      <c r="DF56" s="2">
        <f t="shared" si="24"/>
      </c>
      <c r="DG56" s="129">
        <f t="shared" si="25"/>
      </c>
      <c r="DH56" s="2">
        <f t="shared" si="26"/>
      </c>
      <c r="DI56" s="2">
        <f t="shared" si="96"/>
      </c>
      <c r="DJ56" s="129">
        <f t="shared" si="97"/>
      </c>
      <c r="DK56" s="2">
        <f t="shared" si="27"/>
      </c>
      <c r="DL56" s="2">
        <f t="shared" si="98"/>
      </c>
      <c r="DM56" s="129">
        <f t="shared" si="99"/>
      </c>
      <c r="DN56" s="2">
        <f t="shared" si="28"/>
      </c>
      <c r="DO56" s="2">
        <f t="shared" si="29"/>
      </c>
      <c r="DP56" s="129">
        <f t="shared" si="100"/>
      </c>
      <c r="DQ56" s="2">
        <f t="shared" si="30"/>
      </c>
      <c r="DR56" s="2">
        <f t="shared" si="31"/>
      </c>
      <c r="DS56" s="129">
        <f t="shared" si="101"/>
      </c>
      <c r="DT56" s="2">
        <f t="shared" si="32"/>
      </c>
      <c r="DU56" s="2">
        <f t="shared" si="33"/>
      </c>
      <c r="DV56" s="129">
        <f t="shared" si="102"/>
      </c>
      <c r="DW56" s="2">
        <f t="shared" si="103"/>
      </c>
      <c r="DX56" s="2">
        <f t="shared" si="104"/>
      </c>
      <c r="DY56" s="129">
        <f t="shared" si="105"/>
      </c>
      <c r="DZ56" s="129"/>
      <c r="EA56" s="21">
        <f t="shared" si="106"/>
      </c>
      <c r="EB56" s="382">
        <f t="shared" si="107"/>
        <v>401769</v>
      </c>
      <c r="EC56" s="382">
        <f t="shared" si="108"/>
        <v>401769</v>
      </c>
      <c r="ED56" s="2">
        <f t="shared" si="109"/>
      </c>
      <c r="EE56" s="382">
        <f t="shared" si="110"/>
        <v>401769</v>
      </c>
      <c r="EF56" s="382">
        <f t="shared" si="111"/>
        <v>401769</v>
      </c>
      <c r="EG56" s="382">
        <f t="shared" si="112"/>
        <v>401769</v>
      </c>
      <c r="EH56" s="382"/>
      <c r="EI56" s="382">
        <f t="shared" si="113"/>
        <v>401769</v>
      </c>
      <c r="EJ56" s="208">
        <f t="shared" si="34"/>
        <v>401769</v>
      </c>
      <c r="EK56" s="2">
        <f t="shared" si="114"/>
      </c>
      <c r="EL56" s="2">
        <f t="shared" si="35"/>
      </c>
      <c r="EM56" s="34"/>
      <c r="EN56" s="7">
        <f t="shared" si="36"/>
        <v>1</v>
      </c>
      <c r="EO56" s="124">
        <f t="shared" si="37"/>
        <v>0</v>
      </c>
      <c r="EP56" s="214" t="str">
        <f t="shared" si="38"/>
        <v>●</v>
      </c>
      <c r="EQ56" s="213" t="str">
        <f t="shared" si="39"/>
        <v>●</v>
      </c>
      <c r="ER56" s="213" t="e">
        <f t="shared" si="40"/>
        <v>#VALUE!</v>
      </c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2">
        <f t="shared" si="41"/>
        <v>65</v>
      </c>
      <c r="FD56" s="20"/>
      <c r="FE56" s="20">
        <f t="shared" si="115"/>
        <v>131</v>
      </c>
      <c r="FF56" s="2">
        <f t="shared" si="116"/>
        <v>1</v>
      </c>
      <c r="FG56" s="2">
        <f t="shared" si="117"/>
        <v>1</v>
      </c>
      <c r="FH56" s="2">
        <f t="shared" si="118"/>
        <v>1</v>
      </c>
      <c r="FI56" s="2">
        <f t="shared" si="119"/>
        <v>1</v>
      </c>
      <c r="FJ56" s="20"/>
      <c r="FK56" s="326">
        <f t="shared" si="120"/>
        <v>0</v>
      </c>
      <c r="FL56" s="326">
        <f t="shared" si="121"/>
        <v>0</v>
      </c>
      <c r="FM56" s="326">
        <f t="shared" si="122"/>
        <v>0</v>
      </c>
      <c r="FN56" s="326">
        <f t="shared" si="123"/>
        <v>0</v>
      </c>
      <c r="FP56" s="326">
        <f t="shared" si="124"/>
      </c>
      <c r="FQ56" s="326">
        <f t="shared" si="125"/>
      </c>
      <c r="FR56" s="326">
        <f t="shared" si="126"/>
      </c>
      <c r="FS56" s="326">
        <f t="shared" si="127"/>
      </c>
      <c r="GF56" s="2">
        <v>65</v>
      </c>
      <c r="GG56" s="2">
        <f t="shared" si="128"/>
        <v>1</v>
      </c>
      <c r="GH56" s="2">
        <f t="shared" si="129"/>
      </c>
      <c r="GI56" s="20">
        <f t="shared" si="130"/>
      </c>
      <c r="GJ56" s="20">
        <f t="shared" si="42"/>
      </c>
      <c r="GK56" s="20">
        <f t="shared" si="131"/>
      </c>
    </row>
    <row r="57" spans="1:193" s="29" customFormat="1" ht="15" customHeight="1">
      <c r="A57" s="144"/>
      <c r="B57" s="150">
        <f t="shared" si="132"/>
        <v>132</v>
      </c>
      <c r="C57" s="26">
        <f t="shared" si="43"/>
        <v>20431231</v>
      </c>
      <c r="D57" s="26" t="str">
        <f t="shared" si="44"/>
        <v>2043</v>
      </c>
      <c r="E57" s="26" t="str">
        <f t="shared" si="45"/>
        <v>12</v>
      </c>
      <c r="F57" s="26" t="str">
        <f t="shared" si="46"/>
        <v>31</v>
      </c>
      <c r="G57" s="26" t="str">
        <f t="shared" si="47"/>
        <v>2043/12/31</v>
      </c>
      <c r="H57" s="117">
        <f t="shared" si="0"/>
        <v>50</v>
      </c>
      <c r="I57" s="117">
        <f t="shared" si="48"/>
        <v>0</v>
      </c>
      <c r="J57" s="26">
        <f t="shared" si="137"/>
        <v>18</v>
      </c>
      <c r="K57" s="118">
        <f t="shared" si="1"/>
        <v>50</v>
      </c>
      <c r="L57" s="118">
        <f t="shared" si="2"/>
        <v>0</v>
      </c>
      <c r="M57" s="118">
        <f t="shared" si="3"/>
        <v>18</v>
      </c>
      <c r="N57" s="606" t="str">
        <f t="shared" si="133"/>
        <v>132.1.1~132.12.31</v>
      </c>
      <c r="O57" s="607"/>
      <c r="P57" s="607"/>
      <c r="Q57" s="608"/>
      <c r="R57" s="300" t="str">
        <f t="shared" si="134"/>
        <v>65</v>
      </c>
      <c r="S57" s="338">
        <f t="shared" si="49"/>
        <v>70</v>
      </c>
      <c r="T57" s="339">
        <f t="shared" si="50"/>
        <v>50</v>
      </c>
      <c r="U57" s="204">
        <f t="shared" si="51"/>
        <v>120</v>
      </c>
      <c r="V57" s="341">
        <v>65</v>
      </c>
      <c r="W57" s="429">
        <f t="shared" si="52"/>
      </c>
      <c r="X57" s="430"/>
      <c r="Y57" s="431"/>
      <c r="Z57" s="230">
        <f t="shared" si="53"/>
      </c>
      <c r="AA57" s="220">
        <f t="shared" si="54"/>
      </c>
      <c r="AB57" s="393">
        <f t="shared" si="55"/>
      </c>
      <c r="AC57" s="393">
        <f t="shared" si="56"/>
      </c>
      <c r="AD57" s="220">
        <f t="shared" si="57"/>
      </c>
      <c r="AE57" s="220">
        <f t="shared" si="58"/>
      </c>
      <c r="AF57" s="231">
        <f t="shared" si="59"/>
      </c>
      <c r="AG57" s="310">
        <f t="shared" si="60"/>
      </c>
      <c r="AH57" s="228">
        <f t="shared" si="61"/>
      </c>
      <c r="AI57" s="321">
        <f t="shared" si="62"/>
      </c>
      <c r="AJ57" s="321">
        <f t="shared" si="63"/>
      </c>
      <c r="AK57" s="321">
        <f t="shared" si="64"/>
      </c>
      <c r="AL57" s="321">
        <f t="shared" si="65"/>
      </c>
      <c r="AM57" s="282">
        <f t="shared" si="66"/>
      </c>
      <c r="AN57" s="103"/>
      <c r="AO57" s="119">
        <f t="shared" si="4"/>
        <v>0</v>
      </c>
      <c r="AP57" s="119">
        <f t="shared" si="67"/>
        <v>1</v>
      </c>
      <c r="AQ57" s="119">
        <f t="shared" si="68"/>
        <v>1</v>
      </c>
      <c r="AR57" s="119">
        <f>IF(OR(AO57+AP57+AQ57+GG57&gt;0,SUM($AO$30:AQ56)+GG56&gt;0),1,0)</f>
        <v>1</v>
      </c>
      <c r="AS57" s="119">
        <f t="shared" si="5"/>
      </c>
      <c r="AT57" s="119" t="str">
        <f t="shared" si="69"/>
        <v>符合「年齡滿65歲、年資滿15年」之屆齡退休擇領月退休金條件</v>
      </c>
      <c r="AU57" s="119">
        <f t="shared" si="70"/>
      </c>
      <c r="AV57" s="380" t="str">
        <f t="shared" si="71"/>
        <v>符合「年齡滿65歲、年資滿15年」之屆齡退休擇領月退休金條件</v>
      </c>
      <c r="AW57" s="120">
        <f t="shared" si="6"/>
        <v>0</v>
      </c>
      <c r="AX57" s="120">
        <f t="shared" si="7"/>
        <v>1</v>
      </c>
      <c r="AY57" s="120" t="str">
        <f t="shared" si="72"/>
        <v>符合</v>
      </c>
      <c r="AZ57" s="120">
        <f t="shared" si="8"/>
        <v>70</v>
      </c>
      <c r="BA57" s="120">
        <f t="shared" si="9"/>
        <v>20431231</v>
      </c>
      <c r="BB57" s="120" t="str">
        <f t="shared" si="10"/>
        <v>132.1.1~132.12.31</v>
      </c>
      <c r="BC57" s="121">
        <f t="shared" si="73"/>
      </c>
      <c r="BD57" s="122">
        <f t="shared" si="74"/>
      </c>
      <c r="BE57" s="122"/>
      <c r="BF57" s="120"/>
      <c r="BG57" s="123">
        <f t="shared" si="75"/>
      </c>
      <c r="BH57" s="31">
        <f t="shared" si="76"/>
        <v>1</v>
      </c>
      <c r="BI57" s="7">
        <f t="shared" si="77"/>
        <v>1</v>
      </c>
      <c r="BJ57" s="7">
        <f t="shared" si="78"/>
        <v>0</v>
      </c>
      <c r="BK57" s="124">
        <f t="shared" si="11"/>
        <v>0</v>
      </c>
      <c r="BL57" s="124">
        <f t="shared" si="79"/>
      </c>
      <c r="BM57" s="124">
        <f t="shared" si="80"/>
        <v>0</v>
      </c>
      <c r="BN57" s="124">
        <f t="shared" si="81"/>
      </c>
      <c r="BO57" s="124">
        <f t="shared" si="82"/>
        <v>0</v>
      </c>
      <c r="BP57" s="124">
        <f t="shared" si="12"/>
      </c>
      <c r="BQ57" s="33"/>
      <c r="BR57" s="33"/>
      <c r="BS57" s="33"/>
      <c r="BT57" s="33"/>
      <c r="BU57" s="30"/>
      <c r="BV57" s="30"/>
      <c r="BW57" s="30"/>
      <c r="BX57" s="30"/>
      <c r="BY57" s="30"/>
      <c r="BZ57" s="30"/>
      <c r="CA57" s="30"/>
      <c r="CB57" s="125"/>
      <c r="CC57" s="126"/>
      <c r="CD57" s="126"/>
      <c r="CE57" s="127"/>
      <c r="CF57" s="127"/>
      <c r="CG57" s="127"/>
      <c r="CH57" s="128"/>
      <c r="CI57" s="128"/>
      <c r="CJ57" s="128"/>
      <c r="CK57" s="183">
        <f t="shared" si="18"/>
        <v>13</v>
      </c>
      <c r="CL57" s="7">
        <f t="shared" si="19"/>
        <v>12</v>
      </c>
      <c r="CM57" s="20">
        <f t="shared" si="20"/>
        <v>132</v>
      </c>
      <c r="CN57" s="382">
        <f t="shared" si="83"/>
        <v>52582</v>
      </c>
      <c r="CO57" s="185">
        <f t="shared" si="84"/>
        <v>12</v>
      </c>
      <c r="CP57" s="2">
        <f t="shared" si="138"/>
        <v>17</v>
      </c>
      <c r="CQ57" s="382">
        <f t="shared" si="85"/>
        <v>52578</v>
      </c>
      <c r="CR57" s="185">
        <f t="shared" si="135"/>
        <v>12</v>
      </c>
      <c r="CS57" s="2">
        <f t="shared" si="136"/>
        <v>13</v>
      </c>
      <c r="CT57" s="2" t="str">
        <f t="shared" si="139"/>
        <v>初任</v>
      </c>
      <c r="CU57" s="382">
        <f t="shared" si="87"/>
        <v>52578</v>
      </c>
      <c r="CV57" s="2">
        <f t="shared" si="140"/>
        <v>12</v>
      </c>
      <c r="CW57" s="2" t="str">
        <f t="shared" si="141"/>
        <v>生日</v>
      </c>
      <c r="CX57" s="382">
        <f t="shared" si="90"/>
        <v>52582</v>
      </c>
      <c r="CY57" s="2">
        <f t="shared" si="142"/>
        <v>12</v>
      </c>
      <c r="CZ57" s="2">
        <f t="shared" si="22"/>
        <v>0</v>
      </c>
      <c r="DA57" s="2">
        <f t="shared" si="92"/>
      </c>
      <c r="DB57" s="2">
        <f t="shared" si="23"/>
      </c>
      <c r="DC57" s="2">
        <f t="shared" si="93"/>
      </c>
      <c r="DD57" s="2">
        <f t="shared" si="94"/>
      </c>
      <c r="DE57" s="2">
        <f t="shared" si="95"/>
      </c>
      <c r="DF57" s="2">
        <f t="shared" si="24"/>
      </c>
      <c r="DG57" s="129">
        <f t="shared" si="25"/>
      </c>
      <c r="DH57" s="2">
        <f t="shared" si="26"/>
      </c>
      <c r="DI57" s="2">
        <f t="shared" si="96"/>
      </c>
      <c r="DJ57" s="129">
        <f t="shared" si="97"/>
      </c>
      <c r="DK57" s="2">
        <f t="shared" si="27"/>
      </c>
      <c r="DL57" s="2">
        <f t="shared" si="98"/>
      </c>
      <c r="DM57" s="129">
        <f t="shared" si="99"/>
      </c>
      <c r="DN57" s="2">
        <f t="shared" si="28"/>
      </c>
      <c r="DO57" s="2">
        <f t="shared" si="29"/>
      </c>
      <c r="DP57" s="129">
        <f t="shared" si="100"/>
      </c>
      <c r="DQ57" s="2">
        <f t="shared" si="30"/>
      </c>
      <c r="DR57" s="2">
        <f t="shared" si="31"/>
      </c>
      <c r="DS57" s="129">
        <f t="shared" si="101"/>
      </c>
      <c r="DT57" s="2">
        <f t="shared" si="32"/>
      </c>
      <c r="DU57" s="2">
        <f t="shared" si="33"/>
      </c>
      <c r="DV57" s="129">
        <f t="shared" si="102"/>
      </c>
      <c r="DW57" s="2">
        <f t="shared" si="103"/>
      </c>
      <c r="DX57" s="2">
        <f t="shared" si="104"/>
      </c>
      <c r="DY57" s="129">
        <f t="shared" si="105"/>
      </c>
      <c r="DZ57" s="129"/>
      <c r="EA57" s="21">
        <f t="shared" si="106"/>
      </c>
      <c r="EB57" s="382">
        <f t="shared" si="107"/>
        <v>401769</v>
      </c>
      <c r="EC57" s="382">
        <f t="shared" si="108"/>
        <v>401769</v>
      </c>
      <c r="ED57" s="2">
        <f t="shared" si="109"/>
      </c>
      <c r="EE57" s="382">
        <f t="shared" si="110"/>
        <v>401769</v>
      </c>
      <c r="EF57" s="382">
        <f t="shared" si="111"/>
        <v>401769</v>
      </c>
      <c r="EG57" s="382">
        <f t="shared" si="112"/>
        <v>401769</v>
      </c>
      <c r="EH57" s="382"/>
      <c r="EI57" s="382">
        <f t="shared" si="113"/>
        <v>401769</v>
      </c>
      <c r="EJ57" s="208">
        <f t="shared" si="34"/>
        <v>401769</v>
      </c>
      <c r="EK57" s="2">
        <f t="shared" si="114"/>
      </c>
      <c r="EL57" s="2">
        <f t="shared" si="35"/>
      </c>
      <c r="EM57" s="34"/>
      <c r="EN57" s="7">
        <f t="shared" si="36"/>
        <v>1</v>
      </c>
      <c r="EO57" s="124">
        <f t="shared" si="37"/>
        <v>0</v>
      </c>
      <c r="EP57" s="214" t="str">
        <f t="shared" si="38"/>
        <v>●</v>
      </c>
      <c r="EQ57" s="213" t="str">
        <f t="shared" si="39"/>
        <v>●</v>
      </c>
      <c r="ER57" s="213" t="e">
        <f t="shared" si="40"/>
        <v>#VALUE!</v>
      </c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2">
        <f t="shared" si="41"/>
        <v>65</v>
      </c>
      <c r="FD57" s="20"/>
      <c r="FE57" s="20">
        <f t="shared" si="115"/>
        <v>132</v>
      </c>
      <c r="FF57" s="2">
        <f t="shared" si="116"/>
        <v>1</v>
      </c>
      <c r="FG57" s="2">
        <f t="shared" si="117"/>
        <v>1</v>
      </c>
      <c r="FH57" s="2">
        <f t="shared" si="118"/>
        <v>1</v>
      </c>
      <c r="FI57" s="2">
        <f t="shared" si="119"/>
        <v>1</v>
      </c>
      <c r="FJ57" s="20"/>
      <c r="FK57" s="326">
        <f t="shared" si="120"/>
        <v>0</v>
      </c>
      <c r="FL57" s="326">
        <f t="shared" si="121"/>
        <v>0</v>
      </c>
      <c r="FM57" s="326">
        <f t="shared" si="122"/>
        <v>0</v>
      </c>
      <c r="FN57" s="326">
        <f t="shared" si="123"/>
        <v>0</v>
      </c>
      <c r="FP57" s="326">
        <f t="shared" si="124"/>
      </c>
      <c r="FQ57" s="326">
        <f t="shared" si="125"/>
      </c>
      <c r="FR57" s="326">
        <f t="shared" si="126"/>
      </c>
      <c r="FS57" s="326">
        <f t="shared" si="127"/>
      </c>
      <c r="GF57" s="2">
        <v>65</v>
      </c>
      <c r="GG57" s="2">
        <f t="shared" si="128"/>
        <v>1</v>
      </c>
      <c r="GH57" s="2">
        <f t="shared" si="129"/>
      </c>
      <c r="GI57" s="20">
        <f t="shared" si="130"/>
      </c>
      <c r="GJ57" s="20">
        <f t="shared" si="42"/>
      </c>
      <c r="GK57" s="20">
        <f t="shared" si="131"/>
      </c>
    </row>
    <row r="58" spans="1:193" s="29" customFormat="1" ht="15" customHeight="1">
      <c r="A58" s="144"/>
      <c r="B58" s="150">
        <f t="shared" si="132"/>
        <v>133</v>
      </c>
      <c r="C58" s="26">
        <f t="shared" si="43"/>
        <v>20441231</v>
      </c>
      <c r="D58" s="26" t="str">
        <f t="shared" si="44"/>
        <v>2044</v>
      </c>
      <c r="E58" s="26" t="str">
        <f t="shared" si="45"/>
        <v>12</v>
      </c>
      <c r="F58" s="26" t="str">
        <f t="shared" si="46"/>
        <v>31</v>
      </c>
      <c r="G58" s="26" t="str">
        <f t="shared" si="47"/>
        <v>2044/12/31</v>
      </c>
      <c r="H58" s="117">
        <f t="shared" si="0"/>
        <v>51</v>
      </c>
      <c r="I58" s="117">
        <f t="shared" si="48"/>
        <v>0</v>
      </c>
      <c r="J58" s="26">
        <f t="shared" si="137"/>
        <v>18</v>
      </c>
      <c r="K58" s="118">
        <f t="shared" si="1"/>
        <v>51</v>
      </c>
      <c r="L58" s="118">
        <f t="shared" si="2"/>
        <v>0</v>
      </c>
      <c r="M58" s="118">
        <f t="shared" si="3"/>
        <v>18</v>
      </c>
      <c r="N58" s="606" t="str">
        <f t="shared" si="133"/>
        <v>133.1.1~133.12.31</v>
      </c>
      <c r="O58" s="607"/>
      <c r="P58" s="607"/>
      <c r="Q58" s="608"/>
      <c r="R58" s="300" t="str">
        <f t="shared" si="134"/>
        <v>65</v>
      </c>
      <c r="S58" s="338">
        <f t="shared" si="49"/>
        <v>71</v>
      </c>
      <c r="T58" s="339">
        <f t="shared" si="50"/>
        <v>51</v>
      </c>
      <c r="U58" s="204">
        <f t="shared" si="51"/>
        <v>122</v>
      </c>
      <c r="V58" s="341">
        <v>65</v>
      </c>
      <c r="W58" s="429">
        <f t="shared" si="52"/>
      </c>
      <c r="X58" s="430"/>
      <c r="Y58" s="431"/>
      <c r="Z58" s="230">
        <f t="shared" si="53"/>
      </c>
      <c r="AA58" s="220">
        <f t="shared" si="54"/>
      </c>
      <c r="AB58" s="393">
        <f t="shared" si="55"/>
      </c>
      <c r="AC58" s="393">
        <f t="shared" si="56"/>
      </c>
      <c r="AD58" s="220">
        <f t="shared" si="57"/>
      </c>
      <c r="AE58" s="220">
        <f t="shared" si="58"/>
      </c>
      <c r="AF58" s="231">
        <f t="shared" si="59"/>
      </c>
      <c r="AG58" s="310">
        <f t="shared" si="60"/>
      </c>
      <c r="AH58" s="228">
        <f t="shared" si="61"/>
      </c>
      <c r="AI58" s="321">
        <f t="shared" si="62"/>
      </c>
      <c r="AJ58" s="321">
        <f t="shared" si="63"/>
      </c>
      <c r="AK58" s="321">
        <f t="shared" si="64"/>
      </c>
      <c r="AL58" s="321">
        <f t="shared" si="65"/>
      </c>
      <c r="AM58" s="282">
        <f t="shared" si="66"/>
      </c>
      <c r="AN58" s="103"/>
      <c r="AO58" s="119">
        <f t="shared" si="4"/>
        <v>0</v>
      </c>
      <c r="AP58" s="119">
        <f t="shared" si="67"/>
        <v>1</v>
      </c>
      <c r="AQ58" s="119">
        <f t="shared" si="68"/>
        <v>1</v>
      </c>
      <c r="AR58" s="119">
        <f>IF(OR(AO58+AP58+AQ58+GG58&gt;0,SUM($AO$30:AQ57)+GG57&gt;0),1,0)</f>
        <v>1</v>
      </c>
      <c r="AS58" s="119">
        <f t="shared" si="5"/>
      </c>
      <c r="AT58" s="119" t="str">
        <f t="shared" si="69"/>
        <v>符合「年齡滿65歲、年資滿15年」之屆齡退休擇領月退休金條件</v>
      </c>
      <c r="AU58" s="119">
        <f t="shared" si="70"/>
      </c>
      <c r="AV58" s="380" t="str">
        <f t="shared" si="71"/>
        <v>符合「年齡滿65歲、年資滿15年」之屆齡退休擇領月退休金條件</v>
      </c>
      <c r="AW58" s="120">
        <f t="shared" si="6"/>
        <v>0</v>
      </c>
      <c r="AX58" s="120">
        <f t="shared" si="7"/>
        <v>1</v>
      </c>
      <c r="AY58" s="120" t="str">
        <f t="shared" si="72"/>
        <v>符合</v>
      </c>
      <c r="AZ58" s="120">
        <f t="shared" si="8"/>
        <v>71</v>
      </c>
      <c r="BA58" s="120">
        <f t="shared" si="9"/>
        <v>20441231</v>
      </c>
      <c r="BB58" s="120" t="str">
        <f t="shared" si="10"/>
        <v>133.1.1~133.12.31</v>
      </c>
      <c r="BC58" s="121">
        <f t="shared" si="73"/>
      </c>
      <c r="BD58" s="122">
        <f t="shared" si="74"/>
      </c>
      <c r="BE58" s="122"/>
      <c r="BF58" s="120"/>
      <c r="BG58" s="123">
        <f t="shared" si="75"/>
      </c>
      <c r="BH58" s="31">
        <f t="shared" si="76"/>
        <v>1</v>
      </c>
      <c r="BI58" s="7">
        <f t="shared" si="77"/>
        <v>1</v>
      </c>
      <c r="BJ58" s="7">
        <f t="shared" si="78"/>
        <v>0</v>
      </c>
      <c r="BK58" s="124">
        <f t="shared" si="11"/>
        <v>0</v>
      </c>
      <c r="BL58" s="124">
        <f t="shared" si="79"/>
      </c>
      <c r="BM58" s="124">
        <f t="shared" si="80"/>
        <v>0</v>
      </c>
      <c r="BN58" s="124">
        <f t="shared" si="81"/>
      </c>
      <c r="BO58" s="124">
        <f t="shared" si="82"/>
        <v>0</v>
      </c>
      <c r="BP58" s="124">
        <f t="shared" si="12"/>
      </c>
      <c r="BQ58" s="33"/>
      <c r="BR58" s="33"/>
      <c r="BS58" s="33"/>
      <c r="BT58" s="33"/>
      <c r="BU58" s="30"/>
      <c r="BV58" s="30"/>
      <c r="BW58" s="30"/>
      <c r="BX58" s="30"/>
      <c r="BY58" s="30"/>
      <c r="BZ58" s="30"/>
      <c r="CA58" s="30"/>
      <c r="CB58" s="125"/>
      <c r="CC58" s="126"/>
      <c r="CD58" s="126"/>
      <c r="CE58" s="127"/>
      <c r="CF58" s="127"/>
      <c r="CG58" s="127"/>
      <c r="CH58" s="128"/>
      <c r="CI58" s="128"/>
      <c r="CJ58" s="128"/>
      <c r="CK58" s="183">
        <f t="shared" si="18"/>
        <v>13</v>
      </c>
      <c r="CL58" s="7">
        <f t="shared" si="19"/>
        <v>12</v>
      </c>
      <c r="CM58" s="20">
        <f t="shared" si="20"/>
        <v>133</v>
      </c>
      <c r="CN58" s="382">
        <f t="shared" si="83"/>
        <v>52948</v>
      </c>
      <c r="CO58" s="185">
        <f t="shared" si="84"/>
        <v>12</v>
      </c>
      <c r="CP58" s="2">
        <f t="shared" si="138"/>
        <v>17</v>
      </c>
      <c r="CQ58" s="382">
        <f t="shared" si="85"/>
        <v>52944</v>
      </c>
      <c r="CR58" s="185">
        <f t="shared" si="135"/>
        <v>12</v>
      </c>
      <c r="CS58" s="2">
        <f t="shared" si="136"/>
        <v>13</v>
      </c>
      <c r="CT58" s="2" t="str">
        <f t="shared" si="139"/>
        <v>初任</v>
      </c>
      <c r="CU58" s="382">
        <f t="shared" si="87"/>
        <v>52944</v>
      </c>
      <c r="CV58" s="2">
        <f t="shared" si="140"/>
        <v>12</v>
      </c>
      <c r="CW58" s="2" t="str">
        <f t="shared" si="141"/>
        <v>生日</v>
      </c>
      <c r="CX58" s="382">
        <f t="shared" si="90"/>
        <v>52948</v>
      </c>
      <c r="CY58" s="2">
        <f t="shared" si="142"/>
        <v>12</v>
      </c>
      <c r="CZ58" s="2">
        <f t="shared" si="22"/>
        <v>0</v>
      </c>
      <c r="DA58" s="2">
        <f t="shared" si="92"/>
      </c>
      <c r="DB58" s="2">
        <f t="shared" si="23"/>
      </c>
      <c r="DC58" s="2">
        <f t="shared" si="93"/>
      </c>
      <c r="DD58" s="2">
        <f t="shared" si="94"/>
      </c>
      <c r="DE58" s="2">
        <f t="shared" si="95"/>
      </c>
      <c r="DF58" s="2">
        <f t="shared" si="24"/>
      </c>
      <c r="DG58" s="129">
        <f t="shared" si="25"/>
      </c>
      <c r="DH58" s="2">
        <f t="shared" si="26"/>
      </c>
      <c r="DI58" s="2">
        <f t="shared" si="96"/>
      </c>
      <c r="DJ58" s="129">
        <f t="shared" si="97"/>
      </c>
      <c r="DK58" s="2">
        <f t="shared" si="27"/>
      </c>
      <c r="DL58" s="2">
        <f t="shared" si="98"/>
      </c>
      <c r="DM58" s="129">
        <f t="shared" si="99"/>
      </c>
      <c r="DN58" s="2">
        <f t="shared" si="28"/>
      </c>
      <c r="DO58" s="2">
        <f t="shared" si="29"/>
      </c>
      <c r="DP58" s="129">
        <f t="shared" si="100"/>
      </c>
      <c r="DQ58" s="2">
        <f t="shared" si="30"/>
      </c>
      <c r="DR58" s="2">
        <f t="shared" si="31"/>
      </c>
      <c r="DS58" s="129">
        <f t="shared" si="101"/>
      </c>
      <c r="DT58" s="2">
        <f t="shared" si="32"/>
      </c>
      <c r="DU58" s="2">
        <f t="shared" si="33"/>
      </c>
      <c r="DV58" s="129">
        <f t="shared" si="102"/>
      </c>
      <c r="DW58" s="2">
        <f t="shared" si="103"/>
      </c>
      <c r="DX58" s="2">
        <f t="shared" si="104"/>
      </c>
      <c r="DY58" s="129">
        <f t="shared" si="105"/>
      </c>
      <c r="DZ58" s="129"/>
      <c r="EA58" s="21">
        <f t="shared" si="106"/>
      </c>
      <c r="EB58" s="382">
        <f t="shared" si="107"/>
        <v>401769</v>
      </c>
      <c r="EC58" s="382">
        <f t="shared" si="108"/>
        <v>401769</v>
      </c>
      <c r="ED58" s="2">
        <f t="shared" si="109"/>
      </c>
      <c r="EE58" s="382">
        <f t="shared" si="110"/>
        <v>401769</v>
      </c>
      <c r="EF58" s="382">
        <f t="shared" si="111"/>
        <v>401769</v>
      </c>
      <c r="EG58" s="382">
        <f t="shared" si="112"/>
        <v>401769</v>
      </c>
      <c r="EH58" s="382"/>
      <c r="EI58" s="382">
        <f t="shared" si="113"/>
        <v>401769</v>
      </c>
      <c r="EJ58" s="208">
        <f t="shared" si="34"/>
        <v>401769</v>
      </c>
      <c r="EK58" s="2">
        <f t="shared" si="114"/>
      </c>
      <c r="EL58" s="2">
        <f t="shared" si="35"/>
      </c>
      <c r="EM58" s="34"/>
      <c r="EN58" s="7">
        <f t="shared" si="36"/>
        <v>1</v>
      </c>
      <c r="EO58" s="124">
        <f t="shared" si="37"/>
        <v>0</v>
      </c>
      <c r="EP58" s="214" t="str">
        <f t="shared" si="38"/>
        <v>●</v>
      </c>
      <c r="EQ58" s="213" t="str">
        <f t="shared" si="39"/>
        <v>●</v>
      </c>
      <c r="ER58" s="213" t="e">
        <f t="shared" si="40"/>
        <v>#VALUE!</v>
      </c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2">
        <f t="shared" si="41"/>
        <v>65</v>
      </c>
      <c r="FD58" s="20"/>
      <c r="FE58" s="20">
        <f t="shared" si="115"/>
        <v>133</v>
      </c>
      <c r="FF58" s="2">
        <f t="shared" si="116"/>
        <v>1</v>
      </c>
      <c r="FG58" s="2">
        <f t="shared" si="117"/>
        <v>1</v>
      </c>
      <c r="FH58" s="2">
        <f t="shared" si="118"/>
        <v>1</v>
      </c>
      <c r="FI58" s="2">
        <f t="shared" si="119"/>
        <v>1</v>
      </c>
      <c r="FJ58" s="20"/>
      <c r="FK58" s="326">
        <f t="shared" si="120"/>
        <v>0</v>
      </c>
      <c r="FL58" s="326">
        <f t="shared" si="121"/>
        <v>0</v>
      </c>
      <c r="FM58" s="326">
        <f t="shared" si="122"/>
        <v>0</v>
      </c>
      <c r="FN58" s="326">
        <f t="shared" si="123"/>
        <v>0</v>
      </c>
      <c r="FP58" s="326">
        <f t="shared" si="124"/>
      </c>
      <c r="FQ58" s="326">
        <f t="shared" si="125"/>
      </c>
      <c r="FR58" s="326">
        <f t="shared" si="126"/>
      </c>
      <c r="FS58" s="326">
        <f t="shared" si="127"/>
      </c>
      <c r="GF58" s="2">
        <v>65</v>
      </c>
      <c r="GG58" s="2">
        <f t="shared" si="128"/>
        <v>1</v>
      </c>
      <c r="GH58" s="2">
        <f t="shared" si="129"/>
      </c>
      <c r="GI58" s="20">
        <f t="shared" si="130"/>
      </c>
      <c r="GJ58" s="20">
        <f t="shared" si="42"/>
      </c>
      <c r="GK58" s="20">
        <f t="shared" si="131"/>
      </c>
    </row>
    <row r="59" spans="1:193" s="29" customFormat="1" ht="15" customHeight="1">
      <c r="A59" s="144"/>
      <c r="B59" s="150">
        <f t="shared" si="132"/>
        <v>134</v>
      </c>
      <c r="C59" s="26">
        <f t="shared" si="43"/>
        <v>20451231</v>
      </c>
      <c r="D59" s="26" t="str">
        <f t="shared" si="44"/>
        <v>2045</v>
      </c>
      <c r="E59" s="26" t="str">
        <f t="shared" si="45"/>
        <v>12</v>
      </c>
      <c r="F59" s="26" t="str">
        <f t="shared" si="46"/>
        <v>31</v>
      </c>
      <c r="G59" s="26" t="str">
        <f t="shared" si="47"/>
        <v>2045/12/31</v>
      </c>
      <c r="H59" s="117">
        <f t="shared" si="0"/>
        <v>52</v>
      </c>
      <c r="I59" s="117">
        <f t="shared" si="48"/>
        <v>0</v>
      </c>
      <c r="J59" s="26">
        <f t="shared" si="137"/>
        <v>18</v>
      </c>
      <c r="K59" s="118">
        <f t="shared" si="1"/>
        <v>52</v>
      </c>
      <c r="L59" s="118">
        <f t="shared" si="2"/>
        <v>0</v>
      </c>
      <c r="M59" s="118">
        <f t="shared" si="3"/>
        <v>18</v>
      </c>
      <c r="N59" s="606" t="str">
        <f t="shared" si="133"/>
        <v>134.1.1~134.12.31</v>
      </c>
      <c r="O59" s="607"/>
      <c r="P59" s="607"/>
      <c r="Q59" s="608"/>
      <c r="R59" s="300" t="str">
        <f t="shared" si="134"/>
        <v>65</v>
      </c>
      <c r="S59" s="338">
        <f t="shared" si="49"/>
        <v>72</v>
      </c>
      <c r="T59" s="339">
        <f t="shared" si="50"/>
        <v>52</v>
      </c>
      <c r="U59" s="204">
        <f t="shared" si="51"/>
        <v>124</v>
      </c>
      <c r="V59" s="341">
        <v>65</v>
      </c>
      <c r="W59" s="429">
        <f t="shared" si="52"/>
      </c>
      <c r="X59" s="430"/>
      <c r="Y59" s="431"/>
      <c r="Z59" s="230">
        <f t="shared" si="53"/>
      </c>
      <c r="AA59" s="220">
        <f t="shared" si="54"/>
      </c>
      <c r="AB59" s="393">
        <f t="shared" si="55"/>
      </c>
      <c r="AC59" s="393">
        <f t="shared" si="56"/>
      </c>
      <c r="AD59" s="220">
        <f t="shared" si="57"/>
      </c>
      <c r="AE59" s="220">
        <f t="shared" si="58"/>
      </c>
      <c r="AF59" s="231">
        <f t="shared" si="59"/>
      </c>
      <c r="AG59" s="310">
        <f t="shared" si="60"/>
      </c>
      <c r="AH59" s="228">
        <f t="shared" si="61"/>
      </c>
      <c r="AI59" s="321">
        <f t="shared" si="62"/>
      </c>
      <c r="AJ59" s="321">
        <f t="shared" si="63"/>
      </c>
      <c r="AK59" s="321">
        <f t="shared" si="64"/>
      </c>
      <c r="AL59" s="321">
        <f t="shared" si="65"/>
      </c>
      <c r="AM59" s="282">
        <f t="shared" si="66"/>
      </c>
      <c r="AN59" s="103"/>
      <c r="AO59" s="119">
        <f t="shared" si="4"/>
        <v>0</v>
      </c>
      <c r="AP59" s="119">
        <f t="shared" si="67"/>
        <v>1</v>
      </c>
      <c r="AQ59" s="119">
        <f t="shared" si="68"/>
        <v>1</v>
      </c>
      <c r="AR59" s="119">
        <f>IF(OR(AO59+AP59+AQ59+GG59&gt;0,SUM($AO$30:AQ58)+GG58&gt;0),1,0)</f>
        <v>1</v>
      </c>
      <c r="AS59" s="119">
        <f t="shared" si="5"/>
      </c>
      <c r="AT59" s="119" t="str">
        <f t="shared" si="69"/>
        <v>符合「年齡滿65歲、年資滿15年」之屆齡退休擇領月退休金條件</v>
      </c>
      <c r="AU59" s="119">
        <f t="shared" si="70"/>
      </c>
      <c r="AV59" s="380" t="str">
        <f t="shared" si="71"/>
        <v>符合「年齡滿65歲、年資滿15年」之屆齡退休擇領月退休金條件</v>
      </c>
      <c r="AW59" s="120">
        <f t="shared" si="6"/>
        <v>0</v>
      </c>
      <c r="AX59" s="120">
        <f t="shared" si="7"/>
        <v>1</v>
      </c>
      <c r="AY59" s="120" t="str">
        <f t="shared" si="72"/>
        <v>符合</v>
      </c>
      <c r="AZ59" s="120">
        <f t="shared" si="8"/>
        <v>72</v>
      </c>
      <c r="BA59" s="120">
        <f t="shared" si="9"/>
        <v>20451231</v>
      </c>
      <c r="BB59" s="120" t="str">
        <f t="shared" si="10"/>
        <v>134.1.1~134.12.31</v>
      </c>
      <c r="BC59" s="121">
        <f t="shared" si="73"/>
      </c>
      <c r="BD59" s="122">
        <f t="shared" si="74"/>
      </c>
      <c r="BE59" s="122"/>
      <c r="BF59" s="120"/>
      <c r="BG59" s="123">
        <f t="shared" si="75"/>
      </c>
      <c r="BH59" s="31">
        <f t="shared" si="76"/>
        <v>1</v>
      </c>
      <c r="BI59" s="7">
        <f t="shared" si="77"/>
        <v>1</v>
      </c>
      <c r="BJ59" s="7">
        <f t="shared" si="78"/>
        <v>0</v>
      </c>
      <c r="BK59" s="124">
        <f t="shared" si="11"/>
        <v>0</v>
      </c>
      <c r="BL59" s="124">
        <f t="shared" si="79"/>
      </c>
      <c r="BM59" s="124">
        <f t="shared" si="80"/>
        <v>0</v>
      </c>
      <c r="BN59" s="124">
        <f t="shared" si="81"/>
      </c>
      <c r="BO59" s="124">
        <f t="shared" si="82"/>
        <v>0</v>
      </c>
      <c r="BP59" s="124">
        <f t="shared" si="12"/>
      </c>
      <c r="BQ59" s="33"/>
      <c r="BR59" s="33"/>
      <c r="BS59" s="33"/>
      <c r="BT59" s="33"/>
      <c r="BU59" s="30"/>
      <c r="BV59" s="30"/>
      <c r="BW59" s="30"/>
      <c r="BX59" s="30"/>
      <c r="BY59" s="30"/>
      <c r="BZ59" s="30"/>
      <c r="CA59" s="30"/>
      <c r="CB59" s="125"/>
      <c r="CC59" s="126"/>
      <c r="CD59" s="126"/>
      <c r="CE59" s="127"/>
      <c r="CF59" s="127"/>
      <c r="CG59" s="127"/>
      <c r="CH59" s="128"/>
      <c r="CI59" s="128"/>
      <c r="CJ59" s="128"/>
      <c r="CK59" s="183">
        <f t="shared" si="18"/>
        <v>13</v>
      </c>
      <c r="CL59" s="7">
        <f t="shared" si="19"/>
        <v>12</v>
      </c>
      <c r="CM59" s="20">
        <f t="shared" si="20"/>
        <v>134</v>
      </c>
      <c r="CN59" s="382">
        <f t="shared" si="83"/>
        <v>53313</v>
      </c>
      <c r="CO59" s="185">
        <f t="shared" si="84"/>
        <v>12</v>
      </c>
      <c r="CP59" s="2">
        <f t="shared" si="138"/>
        <v>17</v>
      </c>
      <c r="CQ59" s="382">
        <f t="shared" si="85"/>
        <v>53309</v>
      </c>
      <c r="CR59" s="185">
        <f t="shared" si="135"/>
        <v>12</v>
      </c>
      <c r="CS59" s="2">
        <f t="shared" si="136"/>
        <v>13</v>
      </c>
      <c r="CT59" s="2" t="str">
        <f t="shared" si="139"/>
        <v>初任</v>
      </c>
      <c r="CU59" s="382">
        <f t="shared" si="87"/>
        <v>53309</v>
      </c>
      <c r="CV59" s="2">
        <f t="shared" si="140"/>
        <v>12</v>
      </c>
      <c r="CW59" s="2" t="str">
        <f t="shared" si="141"/>
        <v>生日</v>
      </c>
      <c r="CX59" s="382">
        <f t="shared" si="90"/>
        <v>53313</v>
      </c>
      <c r="CY59" s="2">
        <f t="shared" si="142"/>
        <v>12</v>
      </c>
      <c r="CZ59" s="2">
        <f t="shared" si="22"/>
        <v>0</v>
      </c>
      <c r="DA59" s="2">
        <f t="shared" si="92"/>
      </c>
      <c r="DB59" s="2">
        <f t="shared" si="23"/>
      </c>
      <c r="DC59" s="2">
        <f t="shared" si="93"/>
      </c>
      <c r="DD59" s="2">
        <f t="shared" si="94"/>
      </c>
      <c r="DE59" s="2">
        <f t="shared" si="95"/>
      </c>
      <c r="DF59" s="2">
        <f t="shared" si="24"/>
      </c>
      <c r="DG59" s="129">
        <f t="shared" si="25"/>
      </c>
      <c r="DH59" s="2">
        <f t="shared" si="26"/>
      </c>
      <c r="DI59" s="2">
        <f t="shared" si="96"/>
      </c>
      <c r="DJ59" s="129">
        <f t="shared" si="97"/>
      </c>
      <c r="DK59" s="2">
        <f t="shared" si="27"/>
      </c>
      <c r="DL59" s="2">
        <f t="shared" si="98"/>
      </c>
      <c r="DM59" s="129">
        <f t="shared" si="99"/>
      </c>
      <c r="DN59" s="2">
        <f t="shared" si="28"/>
      </c>
      <c r="DO59" s="2">
        <f t="shared" si="29"/>
      </c>
      <c r="DP59" s="129">
        <f t="shared" si="100"/>
      </c>
      <c r="DQ59" s="2">
        <f t="shared" si="30"/>
      </c>
      <c r="DR59" s="2">
        <f t="shared" si="31"/>
      </c>
      <c r="DS59" s="129">
        <f t="shared" si="101"/>
      </c>
      <c r="DT59" s="2">
        <f t="shared" si="32"/>
      </c>
      <c r="DU59" s="2">
        <f t="shared" si="33"/>
      </c>
      <c r="DV59" s="129">
        <f t="shared" si="102"/>
      </c>
      <c r="DW59" s="2">
        <f t="shared" si="103"/>
      </c>
      <c r="DX59" s="2">
        <f t="shared" si="104"/>
      </c>
      <c r="DY59" s="129">
        <f t="shared" si="105"/>
      </c>
      <c r="DZ59" s="129"/>
      <c r="EA59" s="21">
        <f t="shared" si="106"/>
      </c>
      <c r="EB59" s="382">
        <f t="shared" si="107"/>
        <v>401769</v>
      </c>
      <c r="EC59" s="382">
        <f t="shared" si="108"/>
        <v>401769</v>
      </c>
      <c r="ED59" s="2">
        <f t="shared" si="109"/>
      </c>
      <c r="EE59" s="382">
        <f t="shared" si="110"/>
        <v>401769</v>
      </c>
      <c r="EF59" s="382">
        <f t="shared" si="111"/>
        <v>401769</v>
      </c>
      <c r="EG59" s="382">
        <f t="shared" si="112"/>
        <v>401769</v>
      </c>
      <c r="EH59" s="382"/>
      <c r="EI59" s="382">
        <f t="shared" si="113"/>
        <v>401769</v>
      </c>
      <c r="EJ59" s="208">
        <f t="shared" si="34"/>
        <v>401769</v>
      </c>
      <c r="EK59" s="2">
        <f t="shared" si="114"/>
      </c>
      <c r="EL59" s="2">
        <f t="shared" si="35"/>
      </c>
      <c r="EM59" s="34"/>
      <c r="EN59" s="7">
        <f t="shared" si="36"/>
        <v>1</v>
      </c>
      <c r="EO59" s="124">
        <f t="shared" si="37"/>
        <v>0</v>
      </c>
      <c r="EP59" s="214" t="str">
        <f t="shared" si="38"/>
        <v>●</v>
      </c>
      <c r="EQ59" s="213" t="str">
        <f t="shared" si="39"/>
        <v>●</v>
      </c>
      <c r="ER59" s="213" t="e">
        <f t="shared" si="40"/>
        <v>#VALUE!</v>
      </c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2">
        <f t="shared" si="41"/>
        <v>65</v>
      </c>
      <c r="FD59" s="20"/>
      <c r="FE59" s="20">
        <f t="shared" si="115"/>
        <v>134</v>
      </c>
      <c r="FF59" s="2">
        <f t="shared" si="116"/>
        <v>1</v>
      </c>
      <c r="FG59" s="2">
        <f t="shared" si="117"/>
        <v>1</v>
      </c>
      <c r="FH59" s="2">
        <f t="shared" si="118"/>
        <v>1</v>
      </c>
      <c r="FI59" s="2">
        <f t="shared" si="119"/>
        <v>1</v>
      </c>
      <c r="FJ59" s="20"/>
      <c r="FK59" s="326">
        <f t="shared" si="120"/>
        <v>0</v>
      </c>
      <c r="FL59" s="326">
        <f t="shared" si="121"/>
        <v>0</v>
      </c>
      <c r="FM59" s="326">
        <f t="shared" si="122"/>
        <v>0</v>
      </c>
      <c r="FN59" s="326">
        <f t="shared" si="123"/>
        <v>0</v>
      </c>
      <c r="FP59" s="326">
        <f t="shared" si="124"/>
      </c>
      <c r="FQ59" s="326">
        <f t="shared" si="125"/>
      </c>
      <c r="FR59" s="326">
        <f t="shared" si="126"/>
      </c>
      <c r="FS59" s="326">
        <f t="shared" si="127"/>
      </c>
      <c r="GF59" s="2">
        <v>65</v>
      </c>
      <c r="GG59" s="2">
        <f t="shared" si="128"/>
        <v>1</v>
      </c>
      <c r="GH59" s="2">
        <f t="shared" si="129"/>
      </c>
      <c r="GI59" s="20">
        <f t="shared" si="130"/>
      </c>
      <c r="GJ59" s="20">
        <f t="shared" si="42"/>
      </c>
      <c r="GK59" s="20">
        <f t="shared" si="131"/>
      </c>
    </row>
    <row r="60" spans="1:193" s="29" customFormat="1" ht="15" customHeight="1">
      <c r="A60" s="144"/>
      <c r="B60" s="150">
        <f t="shared" si="132"/>
        <v>135</v>
      </c>
      <c r="C60" s="26">
        <f t="shared" si="43"/>
        <v>20461231</v>
      </c>
      <c r="D60" s="26" t="str">
        <f t="shared" si="44"/>
        <v>2046</v>
      </c>
      <c r="E60" s="26" t="str">
        <f t="shared" si="45"/>
        <v>12</v>
      </c>
      <c r="F60" s="26" t="str">
        <f t="shared" si="46"/>
        <v>31</v>
      </c>
      <c r="G60" s="26" t="str">
        <f t="shared" si="47"/>
        <v>2046/12/31</v>
      </c>
      <c r="H60" s="117">
        <f t="shared" si="0"/>
        <v>53</v>
      </c>
      <c r="I60" s="117">
        <f t="shared" si="48"/>
        <v>0</v>
      </c>
      <c r="J60" s="26">
        <f t="shared" si="137"/>
        <v>18</v>
      </c>
      <c r="K60" s="118">
        <f t="shared" si="1"/>
        <v>53</v>
      </c>
      <c r="L60" s="118">
        <f t="shared" si="2"/>
        <v>0</v>
      </c>
      <c r="M60" s="118">
        <f t="shared" si="3"/>
        <v>18</v>
      </c>
      <c r="N60" s="606" t="str">
        <f t="shared" si="133"/>
        <v>135.1.1~135.12.31</v>
      </c>
      <c r="O60" s="607"/>
      <c r="P60" s="607"/>
      <c r="Q60" s="608"/>
      <c r="R60" s="300" t="str">
        <f t="shared" si="134"/>
        <v>65</v>
      </c>
      <c r="S60" s="338">
        <f t="shared" si="49"/>
        <v>73</v>
      </c>
      <c r="T60" s="339">
        <f t="shared" si="50"/>
        <v>53</v>
      </c>
      <c r="U60" s="204">
        <f t="shared" si="51"/>
        <v>126</v>
      </c>
      <c r="V60" s="341">
        <v>65</v>
      </c>
      <c r="W60" s="429">
        <f t="shared" si="52"/>
      </c>
      <c r="X60" s="430"/>
      <c r="Y60" s="431"/>
      <c r="Z60" s="230">
        <f t="shared" si="53"/>
      </c>
      <c r="AA60" s="220">
        <f t="shared" si="54"/>
      </c>
      <c r="AB60" s="393">
        <f t="shared" si="55"/>
      </c>
      <c r="AC60" s="393">
        <f t="shared" si="56"/>
      </c>
      <c r="AD60" s="220">
        <f t="shared" si="57"/>
      </c>
      <c r="AE60" s="220">
        <f t="shared" si="58"/>
      </c>
      <c r="AF60" s="231">
        <f t="shared" si="59"/>
      </c>
      <c r="AG60" s="310">
        <f t="shared" si="60"/>
      </c>
      <c r="AH60" s="228">
        <f t="shared" si="61"/>
      </c>
      <c r="AI60" s="321">
        <f t="shared" si="62"/>
      </c>
      <c r="AJ60" s="321">
        <f t="shared" si="63"/>
      </c>
      <c r="AK60" s="321">
        <f t="shared" si="64"/>
      </c>
      <c r="AL60" s="321">
        <f t="shared" si="65"/>
      </c>
      <c r="AM60" s="282">
        <f t="shared" si="66"/>
      </c>
      <c r="AN60" s="103"/>
      <c r="AO60" s="119">
        <f t="shared" si="4"/>
        <v>0</v>
      </c>
      <c r="AP60" s="119">
        <f t="shared" si="67"/>
        <v>1</v>
      </c>
      <c r="AQ60" s="119">
        <f t="shared" si="68"/>
        <v>1</v>
      </c>
      <c r="AR60" s="119">
        <f>IF(OR(AO60+AP60+AQ60+GG60&gt;0,SUM($AO$30:AQ59)+GG59&gt;0),1,0)</f>
        <v>1</v>
      </c>
      <c r="AS60" s="119">
        <f t="shared" si="5"/>
      </c>
      <c r="AT60" s="119" t="str">
        <f t="shared" si="69"/>
        <v>符合「年齡滿65歲、年資滿15年」之屆齡退休擇領月退休金條件</v>
      </c>
      <c r="AU60" s="119">
        <f t="shared" si="70"/>
      </c>
      <c r="AV60" s="380" t="str">
        <f t="shared" si="71"/>
        <v>符合「年齡滿65歲、年資滿15年」之屆齡退休擇領月退休金條件</v>
      </c>
      <c r="AW60" s="120">
        <f t="shared" si="6"/>
        <v>0</v>
      </c>
      <c r="AX60" s="120">
        <f t="shared" si="7"/>
        <v>1</v>
      </c>
      <c r="AY60" s="120" t="str">
        <f t="shared" si="72"/>
        <v>符合</v>
      </c>
      <c r="AZ60" s="120">
        <f t="shared" si="8"/>
        <v>73</v>
      </c>
      <c r="BA60" s="120">
        <f t="shared" si="9"/>
        <v>20461231</v>
      </c>
      <c r="BB60" s="120" t="str">
        <f t="shared" si="10"/>
        <v>135.1.1~135.12.31</v>
      </c>
      <c r="BC60" s="121">
        <f t="shared" si="73"/>
      </c>
      <c r="BD60" s="122">
        <f t="shared" si="74"/>
      </c>
      <c r="BE60" s="122"/>
      <c r="BF60" s="120"/>
      <c r="BG60" s="123">
        <f t="shared" si="75"/>
      </c>
      <c r="BH60" s="31">
        <f t="shared" si="76"/>
        <v>1</v>
      </c>
      <c r="BI60" s="7">
        <f t="shared" si="77"/>
        <v>1</v>
      </c>
      <c r="BJ60" s="7">
        <f t="shared" si="78"/>
        <v>0</v>
      </c>
      <c r="BK60" s="124">
        <f t="shared" si="11"/>
        <v>0</v>
      </c>
      <c r="BL60" s="124">
        <f t="shared" si="79"/>
      </c>
      <c r="BM60" s="124">
        <f t="shared" si="80"/>
        <v>0</v>
      </c>
      <c r="BN60" s="124">
        <f t="shared" si="81"/>
      </c>
      <c r="BO60" s="124">
        <f t="shared" si="82"/>
        <v>0</v>
      </c>
      <c r="BP60" s="124">
        <f t="shared" si="12"/>
      </c>
      <c r="BQ60" s="33"/>
      <c r="BR60" s="33"/>
      <c r="BS60" s="33"/>
      <c r="BT60" s="33"/>
      <c r="BU60" s="30"/>
      <c r="BV60" s="30"/>
      <c r="BW60" s="30"/>
      <c r="BX60" s="30"/>
      <c r="BY60" s="30"/>
      <c r="BZ60" s="30"/>
      <c r="CA60" s="30"/>
      <c r="CB60" s="125"/>
      <c r="CC60" s="126"/>
      <c r="CD60" s="126"/>
      <c r="CE60" s="127"/>
      <c r="CF60" s="127"/>
      <c r="CG60" s="127"/>
      <c r="CH60" s="128"/>
      <c r="CI60" s="128"/>
      <c r="CJ60" s="128"/>
      <c r="CK60" s="183">
        <f t="shared" si="18"/>
        <v>13</v>
      </c>
      <c r="CL60" s="7">
        <f t="shared" si="19"/>
        <v>12</v>
      </c>
      <c r="CM60" s="20">
        <f t="shared" si="20"/>
        <v>135</v>
      </c>
      <c r="CN60" s="382">
        <f t="shared" si="83"/>
        <v>53678</v>
      </c>
      <c r="CO60" s="185">
        <f t="shared" si="84"/>
        <v>12</v>
      </c>
      <c r="CP60" s="2">
        <f t="shared" si="138"/>
        <v>17</v>
      </c>
      <c r="CQ60" s="382">
        <f t="shared" si="85"/>
        <v>53674</v>
      </c>
      <c r="CR60" s="185">
        <f t="shared" si="135"/>
        <v>12</v>
      </c>
      <c r="CS60" s="2">
        <f t="shared" si="136"/>
        <v>13</v>
      </c>
      <c r="CT60" s="2" t="str">
        <f t="shared" si="139"/>
        <v>初任</v>
      </c>
      <c r="CU60" s="382">
        <f t="shared" si="87"/>
        <v>53674</v>
      </c>
      <c r="CV60" s="2">
        <f t="shared" si="140"/>
        <v>12</v>
      </c>
      <c r="CW60" s="2" t="str">
        <f t="shared" si="141"/>
        <v>生日</v>
      </c>
      <c r="CX60" s="382">
        <f t="shared" si="90"/>
        <v>53678</v>
      </c>
      <c r="CY60" s="2">
        <f t="shared" si="142"/>
        <v>12</v>
      </c>
      <c r="CZ60" s="2">
        <f t="shared" si="22"/>
        <v>0</v>
      </c>
      <c r="DA60" s="2">
        <f t="shared" si="92"/>
      </c>
      <c r="DB60" s="2">
        <f t="shared" si="23"/>
      </c>
      <c r="DC60" s="2">
        <f t="shared" si="93"/>
      </c>
      <c r="DD60" s="2">
        <f t="shared" si="94"/>
      </c>
      <c r="DE60" s="2">
        <f t="shared" si="95"/>
      </c>
      <c r="DF60" s="2">
        <f t="shared" si="24"/>
      </c>
      <c r="DG60" s="129">
        <f t="shared" si="25"/>
      </c>
      <c r="DH60" s="2">
        <f t="shared" si="26"/>
      </c>
      <c r="DI60" s="2">
        <f t="shared" si="96"/>
      </c>
      <c r="DJ60" s="129">
        <f t="shared" si="97"/>
      </c>
      <c r="DK60" s="2">
        <f t="shared" si="27"/>
      </c>
      <c r="DL60" s="2">
        <f t="shared" si="98"/>
      </c>
      <c r="DM60" s="129">
        <f t="shared" si="99"/>
      </c>
      <c r="DN60" s="2">
        <f t="shared" si="28"/>
      </c>
      <c r="DO60" s="2">
        <f t="shared" si="29"/>
      </c>
      <c r="DP60" s="129">
        <f t="shared" si="100"/>
      </c>
      <c r="DQ60" s="2">
        <f t="shared" si="30"/>
      </c>
      <c r="DR60" s="2">
        <f t="shared" si="31"/>
      </c>
      <c r="DS60" s="129">
        <f t="shared" si="101"/>
      </c>
      <c r="DT60" s="2">
        <f t="shared" si="32"/>
      </c>
      <c r="DU60" s="2">
        <f t="shared" si="33"/>
      </c>
      <c r="DV60" s="129">
        <f t="shared" si="102"/>
      </c>
      <c r="DW60" s="2">
        <f t="shared" si="103"/>
      </c>
      <c r="DX60" s="2">
        <f t="shared" si="104"/>
      </c>
      <c r="DY60" s="129">
        <f t="shared" si="105"/>
      </c>
      <c r="DZ60" s="129"/>
      <c r="EA60" s="21">
        <f t="shared" si="106"/>
      </c>
      <c r="EB60" s="382">
        <f t="shared" si="107"/>
        <v>401769</v>
      </c>
      <c r="EC60" s="382">
        <f t="shared" si="108"/>
        <v>401769</v>
      </c>
      <c r="ED60" s="2">
        <f t="shared" si="109"/>
      </c>
      <c r="EE60" s="382">
        <f t="shared" si="110"/>
        <v>401769</v>
      </c>
      <c r="EF60" s="382">
        <f t="shared" si="111"/>
        <v>401769</v>
      </c>
      <c r="EG60" s="382">
        <f t="shared" si="112"/>
        <v>401769</v>
      </c>
      <c r="EH60" s="382"/>
      <c r="EI60" s="382">
        <f t="shared" si="113"/>
        <v>401769</v>
      </c>
      <c r="EJ60" s="208">
        <f t="shared" si="34"/>
        <v>401769</v>
      </c>
      <c r="EK60" s="2">
        <f t="shared" si="114"/>
      </c>
      <c r="EL60" s="2">
        <f t="shared" si="35"/>
      </c>
      <c r="EM60" s="34"/>
      <c r="EN60" s="7">
        <f t="shared" si="36"/>
        <v>1</v>
      </c>
      <c r="EO60" s="124">
        <f t="shared" si="37"/>
        <v>0</v>
      </c>
      <c r="EP60" s="214" t="str">
        <f t="shared" si="38"/>
        <v>●</v>
      </c>
      <c r="EQ60" s="213" t="str">
        <f t="shared" si="39"/>
        <v>●</v>
      </c>
      <c r="ER60" s="213" t="e">
        <f t="shared" si="40"/>
        <v>#VALUE!</v>
      </c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2">
        <f t="shared" si="41"/>
        <v>65</v>
      </c>
      <c r="FD60" s="20"/>
      <c r="FE60" s="20">
        <f t="shared" si="115"/>
        <v>135</v>
      </c>
      <c r="FF60" s="2">
        <f t="shared" si="116"/>
        <v>1</v>
      </c>
      <c r="FG60" s="2">
        <f t="shared" si="117"/>
        <v>1</v>
      </c>
      <c r="FH60" s="2">
        <f t="shared" si="118"/>
        <v>1</v>
      </c>
      <c r="FI60" s="2">
        <f t="shared" si="119"/>
        <v>1</v>
      </c>
      <c r="FJ60" s="20"/>
      <c r="FK60" s="326">
        <f t="shared" si="120"/>
        <v>0</v>
      </c>
      <c r="FL60" s="326">
        <f t="shared" si="121"/>
        <v>0</v>
      </c>
      <c r="FM60" s="326">
        <f t="shared" si="122"/>
        <v>0</v>
      </c>
      <c r="FN60" s="326">
        <f t="shared" si="123"/>
        <v>0</v>
      </c>
      <c r="FP60" s="326">
        <f t="shared" si="124"/>
      </c>
      <c r="FQ60" s="326">
        <f t="shared" si="125"/>
      </c>
      <c r="FR60" s="326">
        <f t="shared" si="126"/>
      </c>
      <c r="FS60" s="326">
        <f t="shared" si="127"/>
      </c>
      <c r="GF60" s="2">
        <v>65</v>
      </c>
      <c r="GG60" s="2">
        <f t="shared" si="128"/>
        <v>1</v>
      </c>
      <c r="GH60" s="2">
        <f t="shared" si="129"/>
      </c>
      <c r="GI60" s="20">
        <f t="shared" si="130"/>
      </c>
      <c r="GJ60" s="20">
        <f t="shared" si="42"/>
      </c>
      <c r="GK60" s="20">
        <f t="shared" si="131"/>
      </c>
    </row>
    <row r="61" spans="1:193" s="29" customFormat="1" ht="15" customHeight="1">
      <c r="A61" s="144"/>
      <c r="B61" s="150">
        <f t="shared" si="132"/>
        <v>136</v>
      </c>
      <c r="C61" s="26">
        <f t="shared" si="43"/>
        <v>20471231</v>
      </c>
      <c r="D61" s="26" t="str">
        <f t="shared" si="44"/>
        <v>2047</v>
      </c>
      <c r="E61" s="26" t="str">
        <f t="shared" si="45"/>
        <v>12</v>
      </c>
      <c r="F61" s="26" t="str">
        <f t="shared" si="46"/>
        <v>31</v>
      </c>
      <c r="G61" s="26" t="str">
        <f t="shared" si="47"/>
        <v>2047/12/31</v>
      </c>
      <c r="H61" s="117">
        <f t="shared" si="0"/>
        <v>54</v>
      </c>
      <c r="I61" s="117">
        <f t="shared" si="48"/>
        <v>0</v>
      </c>
      <c r="J61" s="26">
        <f t="shared" si="137"/>
        <v>18</v>
      </c>
      <c r="K61" s="118">
        <f t="shared" si="1"/>
        <v>54</v>
      </c>
      <c r="L61" s="118">
        <f t="shared" si="2"/>
        <v>0</v>
      </c>
      <c r="M61" s="118">
        <f t="shared" si="3"/>
        <v>18</v>
      </c>
      <c r="N61" s="606" t="str">
        <f t="shared" si="133"/>
        <v>136.1.1~136.12.31</v>
      </c>
      <c r="O61" s="607"/>
      <c r="P61" s="607"/>
      <c r="Q61" s="608"/>
      <c r="R61" s="300" t="str">
        <f t="shared" si="134"/>
        <v>65</v>
      </c>
      <c r="S61" s="338">
        <f t="shared" si="49"/>
        <v>74</v>
      </c>
      <c r="T61" s="339">
        <f t="shared" si="50"/>
        <v>54</v>
      </c>
      <c r="U61" s="204">
        <f t="shared" si="51"/>
        <v>128</v>
      </c>
      <c r="V61" s="341">
        <v>65</v>
      </c>
      <c r="W61" s="429">
        <f t="shared" si="52"/>
      </c>
      <c r="X61" s="430"/>
      <c r="Y61" s="431"/>
      <c r="Z61" s="230">
        <f t="shared" si="53"/>
      </c>
      <c r="AA61" s="220">
        <f t="shared" si="54"/>
      </c>
      <c r="AB61" s="393">
        <f t="shared" si="55"/>
      </c>
      <c r="AC61" s="393">
        <f t="shared" si="56"/>
      </c>
      <c r="AD61" s="220">
        <f t="shared" si="57"/>
      </c>
      <c r="AE61" s="220">
        <f t="shared" si="58"/>
      </c>
      <c r="AF61" s="231">
        <f t="shared" si="59"/>
      </c>
      <c r="AG61" s="310">
        <f t="shared" si="60"/>
      </c>
      <c r="AH61" s="228">
        <f t="shared" si="61"/>
      </c>
      <c r="AI61" s="321">
        <f t="shared" si="62"/>
      </c>
      <c r="AJ61" s="321">
        <f t="shared" si="63"/>
      </c>
      <c r="AK61" s="321">
        <f t="shared" si="64"/>
      </c>
      <c r="AL61" s="321">
        <f t="shared" si="65"/>
      </c>
      <c r="AM61" s="282">
        <f t="shared" si="66"/>
      </c>
      <c r="AN61" s="103"/>
      <c r="AO61" s="119">
        <f t="shared" si="4"/>
        <v>0</v>
      </c>
      <c r="AP61" s="119">
        <f t="shared" si="67"/>
        <v>1</v>
      </c>
      <c r="AQ61" s="119">
        <f t="shared" si="68"/>
        <v>1</v>
      </c>
      <c r="AR61" s="119">
        <f>IF(OR(AO61+AP61+AQ61+GG61&gt;0,SUM($AO$30:AQ60)+GG60&gt;0),1,0)</f>
        <v>1</v>
      </c>
      <c r="AS61" s="119">
        <f t="shared" si="5"/>
      </c>
      <c r="AT61" s="119" t="str">
        <f t="shared" si="69"/>
        <v>符合「年齡滿65歲、年資滿15年」之屆齡退休擇領月退休金條件</v>
      </c>
      <c r="AU61" s="119">
        <f t="shared" si="70"/>
      </c>
      <c r="AV61" s="380" t="str">
        <f t="shared" si="71"/>
        <v>符合「年齡滿65歲、年資滿15年」之屆齡退休擇領月退休金條件</v>
      </c>
      <c r="AW61" s="120">
        <f t="shared" si="6"/>
        <v>0</v>
      </c>
      <c r="AX61" s="120">
        <f t="shared" si="7"/>
        <v>1</v>
      </c>
      <c r="AY61" s="120" t="str">
        <f t="shared" si="72"/>
        <v>符合</v>
      </c>
      <c r="AZ61" s="120">
        <f t="shared" si="8"/>
        <v>74</v>
      </c>
      <c r="BA61" s="120">
        <f t="shared" si="9"/>
        <v>20471231</v>
      </c>
      <c r="BB61" s="120" t="str">
        <f t="shared" si="10"/>
        <v>136.1.1~136.12.31</v>
      </c>
      <c r="BC61" s="121">
        <f t="shared" si="73"/>
      </c>
      <c r="BD61" s="122">
        <f t="shared" si="74"/>
      </c>
      <c r="BE61" s="122"/>
      <c r="BF61" s="120"/>
      <c r="BG61" s="123">
        <f t="shared" si="75"/>
      </c>
      <c r="BH61" s="31">
        <f t="shared" si="76"/>
        <v>1</v>
      </c>
      <c r="BI61" s="7">
        <f t="shared" si="77"/>
        <v>1</v>
      </c>
      <c r="BJ61" s="7">
        <f t="shared" si="78"/>
        <v>0</v>
      </c>
      <c r="BK61" s="124">
        <f t="shared" si="11"/>
        <v>0</v>
      </c>
      <c r="BL61" s="124">
        <f t="shared" si="79"/>
      </c>
      <c r="BM61" s="124">
        <f t="shared" si="80"/>
        <v>0</v>
      </c>
      <c r="BN61" s="124">
        <f t="shared" si="81"/>
      </c>
      <c r="BO61" s="124">
        <f t="shared" si="82"/>
        <v>0</v>
      </c>
      <c r="BP61" s="124">
        <f t="shared" si="12"/>
      </c>
      <c r="BQ61" s="33"/>
      <c r="BR61" s="33"/>
      <c r="BS61" s="33"/>
      <c r="BT61" s="33"/>
      <c r="BU61" s="30"/>
      <c r="BV61" s="30"/>
      <c r="BW61" s="30"/>
      <c r="BX61" s="30"/>
      <c r="BY61" s="30"/>
      <c r="BZ61" s="30"/>
      <c r="CA61" s="30"/>
      <c r="CB61" s="125"/>
      <c r="CC61" s="126"/>
      <c r="CD61" s="126"/>
      <c r="CE61" s="127"/>
      <c r="CF61" s="127"/>
      <c r="CG61" s="127"/>
      <c r="CH61" s="128"/>
      <c r="CI61" s="128"/>
      <c r="CJ61" s="128"/>
      <c r="CK61" s="183">
        <f t="shared" si="18"/>
        <v>13</v>
      </c>
      <c r="CL61" s="7">
        <f t="shared" si="19"/>
        <v>12</v>
      </c>
      <c r="CM61" s="20">
        <f t="shared" si="20"/>
        <v>136</v>
      </c>
      <c r="CN61" s="382">
        <f t="shared" si="83"/>
        <v>54043</v>
      </c>
      <c r="CO61" s="185">
        <f t="shared" si="84"/>
        <v>12</v>
      </c>
      <c r="CP61" s="2">
        <f t="shared" si="138"/>
        <v>17</v>
      </c>
      <c r="CQ61" s="382">
        <f t="shared" si="85"/>
        <v>54039</v>
      </c>
      <c r="CR61" s="185">
        <f t="shared" si="135"/>
        <v>12</v>
      </c>
      <c r="CS61" s="2">
        <f t="shared" si="136"/>
        <v>13</v>
      </c>
      <c r="CT61" s="2" t="str">
        <f t="shared" si="139"/>
        <v>初任</v>
      </c>
      <c r="CU61" s="382">
        <f t="shared" si="87"/>
        <v>54039</v>
      </c>
      <c r="CV61" s="2">
        <f t="shared" si="140"/>
        <v>12</v>
      </c>
      <c r="CW61" s="2" t="str">
        <f t="shared" si="141"/>
        <v>生日</v>
      </c>
      <c r="CX61" s="382">
        <f t="shared" si="90"/>
        <v>54043</v>
      </c>
      <c r="CY61" s="2">
        <f t="shared" si="142"/>
        <v>12</v>
      </c>
      <c r="CZ61" s="2">
        <f t="shared" si="22"/>
        <v>0</v>
      </c>
      <c r="DA61" s="2">
        <f t="shared" si="92"/>
      </c>
      <c r="DB61" s="2">
        <f t="shared" si="23"/>
      </c>
      <c r="DC61" s="2">
        <f t="shared" si="93"/>
      </c>
      <c r="DD61" s="2">
        <f t="shared" si="94"/>
      </c>
      <c r="DE61" s="2">
        <f t="shared" si="95"/>
      </c>
      <c r="DF61" s="2">
        <f t="shared" si="24"/>
      </c>
      <c r="DG61" s="129">
        <f t="shared" si="25"/>
      </c>
      <c r="DH61" s="2">
        <f t="shared" si="26"/>
      </c>
      <c r="DI61" s="2">
        <f t="shared" si="96"/>
      </c>
      <c r="DJ61" s="129">
        <f t="shared" si="97"/>
      </c>
      <c r="DK61" s="2">
        <f t="shared" si="27"/>
      </c>
      <c r="DL61" s="2">
        <f t="shared" si="98"/>
      </c>
      <c r="DM61" s="129">
        <f t="shared" si="99"/>
      </c>
      <c r="DN61" s="2">
        <f t="shared" si="28"/>
      </c>
      <c r="DO61" s="2">
        <f t="shared" si="29"/>
      </c>
      <c r="DP61" s="129">
        <f t="shared" si="100"/>
      </c>
      <c r="DQ61" s="2">
        <f t="shared" si="30"/>
      </c>
      <c r="DR61" s="2">
        <f t="shared" si="31"/>
      </c>
      <c r="DS61" s="129">
        <f t="shared" si="101"/>
      </c>
      <c r="DT61" s="2">
        <f t="shared" si="32"/>
      </c>
      <c r="DU61" s="2">
        <f t="shared" si="33"/>
      </c>
      <c r="DV61" s="129">
        <f t="shared" si="102"/>
      </c>
      <c r="DW61" s="2">
        <f t="shared" si="103"/>
      </c>
      <c r="DX61" s="2">
        <f t="shared" si="104"/>
      </c>
      <c r="DY61" s="129">
        <f t="shared" si="105"/>
      </c>
      <c r="DZ61" s="129"/>
      <c r="EA61" s="21">
        <f t="shared" si="106"/>
      </c>
      <c r="EB61" s="382">
        <f t="shared" si="107"/>
        <v>401769</v>
      </c>
      <c r="EC61" s="382">
        <f t="shared" si="108"/>
        <v>401769</v>
      </c>
      <c r="ED61" s="2">
        <f t="shared" si="109"/>
      </c>
      <c r="EE61" s="382">
        <f t="shared" si="110"/>
        <v>401769</v>
      </c>
      <c r="EF61" s="382">
        <f t="shared" si="111"/>
        <v>401769</v>
      </c>
      <c r="EG61" s="382">
        <f t="shared" si="112"/>
        <v>401769</v>
      </c>
      <c r="EH61" s="382"/>
      <c r="EI61" s="382">
        <f t="shared" si="113"/>
        <v>401769</v>
      </c>
      <c r="EJ61" s="208">
        <f t="shared" si="34"/>
        <v>401769</v>
      </c>
      <c r="EK61" s="2">
        <f t="shared" si="114"/>
      </c>
      <c r="EL61" s="2">
        <f t="shared" si="35"/>
      </c>
      <c r="EM61" s="34"/>
      <c r="EN61" s="7">
        <f t="shared" si="36"/>
        <v>1</v>
      </c>
      <c r="EO61" s="124">
        <f t="shared" si="37"/>
        <v>0</v>
      </c>
      <c r="EP61" s="214" t="str">
        <f t="shared" si="38"/>
        <v>●</v>
      </c>
      <c r="EQ61" s="213" t="str">
        <f t="shared" si="39"/>
        <v>●</v>
      </c>
      <c r="ER61" s="213" t="e">
        <f t="shared" si="40"/>
        <v>#VALUE!</v>
      </c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2">
        <f t="shared" si="41"/>
        <v>65</v>
      </c>
      <c r="FD61" s="20"/>
      <c r="FE61" s="20">
        <f t="shared" si="115"/>
        <v>136</v>
      </c>
      <c r="FF61" s="2">
        <f t="shared" si="116"/>
        <v>1</v>
      </c>
      <c r="FG61" s="2">
        <f t="shared" si="117"/>
        <v>1</v>
      </c>
      <c r="FH61" s="2">
        <f t="shared" si="118"/>
        <v>1</v>
      </c>
      <c r="FI61" s="2">
        <f t="shared" si="119"/>
        <v>1</v>
      </c>
      <c r="FJ61" s="20"/>
      <c r="FK61" s="326">
        <f t="shared" si="120"/>
        <v>0</v>
      </c>
      <c r="FL61" s="326">
        <f t="shared" si="121"/>
        <v>0</v>
      </c>
      <c r="FM61" s="326">
        <f t="shared" si="122"/>
        <v>0</v>
      </c>
      <c r="FN61" s="326">
        <f t="shared" si="123"/>
        <v>0</v>
      </c>
      <c r="FP61" s="326">
        <f t="shared" si="124"/>
      </c>
      <c r="FQ61" s="326">
        <f t="shared" si="125"/>
      </c>
      <c r="FR61" s="326">
        <f t="shared" si="126"/>
      </c>
      <c r="FS61" s="326">
        <f t="shared" si="127"/>
      </c>
      <c r="GF61" s="2">
        <v>65</v>
      </c>
      <c r="GG61" s="2">
        <f t="shared" si="128"/>
        <v>1</v>
      </c>
      <c r="GH61" s="2">
        <f t="shared" si="129"/>
      </c>
      <c r="GI61" s="20">
        <f t="shared" si="130"/>
      </c>
      <c r="GJ61" s="20">
        <f t="shared" si="42"/>
      </c>
      <c r="GK61" s="20">
        <f t="shared" si="131"/>
      </c>
    </row>
    <row r="62" spans="1:193" s="29" customFormat="1" ht="15" customHeight="1">
      <c r="A62" s="144"/>
      <c r="B62" s="150">
        <f t="shared" si="132"/>
        <v>137</v>
      </c>
      <c r="C62" s="26">
        <f t="shared" si="43"/>
        <v>20481231</v>
      </c>
      <c r="D62" s="26" t="str">
        <f t="shared" si="44"/>
        <v>2048</v>
      </c>
      <c r="E62" s="26" t="str">
        <f t="shared" si="45"/>
        <v>12</v>
      </c>
      <c r="F62" s="26" t="str">
        <f t="shared" si="46"/>
        <v>31</v>
      </c>
      <c r="G62" s="26" t="str">
        <f t="shared" si="47"/>
        <v>2048/12/31</v>
      </c>
      <c r="H62" s="117">
        <f t="shared" si="0"/>
        <v>55</v>
      </c>
      <c r="I62" s="117">
        <f t="shared" si="48"/>
        <v>0</v>
      </c>
      <c r="J62" s="26">
        <f t="shared" si="137"/>
        <v>18</v>
      </c>
      <c r="K62" s="118">
        <f t="shared" si="1"/>
        <v>55</v>
      </c>
      <c r="L62" s="118">
        <f t="shared" si="2"/>
        <v>0</v>
      </c>
      <c r="M62" s="118">
        <f t="shared" si="3"/>
        <v>18</v>
      </c>
      <c r="N62" s="606" t="str">
        <f t="shared" si="133"/>
        <v>137.1.1~137.12.31</v>
      </c>
      <c r="O62" s="607"/>
      <c r="P62" s="607"/>
      <c r="Q62" s="608"/>
      <c r="R62" s="300" t="str">
        <f t="shared" si="134"/>
        <v>65</v>
      </c>
      <c r="S62" s="338">
        <f t="shared" si="49"/>
        <v>75</v>
      </c>
      <c r="T62" s="339">
        <f t="shared" si="50"/>
        <v>55</v>
      </c>
      <c r="U62" s="204">
        <f t="shared" si="51"/>
        <v>130</v>
      </c>
      <c r="V62" s="341">
        <v>65</v>
      </c>
      <c r="W62" s="429">
        <f t="shared" si="52"/>
      </c>
      <c r="X62" s="430"/>
      <c r="Y62" s="431"/>
      <c r="Z62" s="230">
        <f t="shared" si="53"/>
      </c>
      <c r="AA62" s="220">
        <f t="shared" si="54"/>
      </c>
      <c r="AB62" s="393">
        <f t="shared" si="55"/>
      </c>
      <c r="AC62" s="393">
        <f t="shared" si="56"/>
      </c>
      <c r="AD62" s="220">
        <f t="shared" si="57"/>
      </c>
      <c r="AE62" s="220">
        <f t="shared" si="58"/>
      </c>
      <c r="AF62" s="231">
        <f t="shared" si="59"/>
      </c>
      <c r="AG62" s="310">
        <f t="shared" si="60"/>
      </c>
      <c r="AH62" s="228">
        <f t="shared" si="61"/>
      </c>
      <c r="AI62" s="321">
        <f t="shared" si="62"/>
      </c>
      <c r="AJ62" s="321">
        <f t="shared" si="63"/>
      </c>
      <c r="AK62" s="321">
        <f t="shared" si="64"/>
      </c>
      <c r="AL62" s="321">
        <f t="shared" si="65"/>
      </c>
      <c r="AM62" s="282">
        <f t="shared" si="66"/>
      </c>
      <c r="AN62" s="103"/>
      <c r="AO62" s="119">
        <f t="shared" si="4"/>
        <v>0</v>
      </c>
      <c r="AP62" s="119">
        <f t="shared" si="67"/>
        <v>1</v>
      </c>
      <c r="AQ62" s="119">
        <f t="shared" si="68"/>
        <v>1</v>
      </c>
      <c r="AR62" s="119">
        <f>IF(OR(AO62+AP62+AQ62+GG62&gt;0,SUM($AO$30:AQ61)+GG61&gt;0),1,0)</f>
        <v>1</v>
      </c>
      <c r="AS62" s="119">
        <f t="shared" si="5"/>
      </c>
      <c r="AT62" s="119" t="str">
        <f t="shared" si="69"/>
        <v>符合「年齡滿65歲、年資滿15年」之屆齡退休擇領月退休金條件</v>
      </c>
      <c r="AU62" s="119">
        <f t="shared" si="70"/>
      </c>
      <c r="AV62" s="380" t="str">
        <f t="shared" si="71"/>
        <v>符合「年齡滿65歲、年資滿15年」之屆齡退休擇領月退休金條件</v>
      </c>
      <c r="AW62" s="120">
        <f t="shared" si="6"/>
        <v>0</v>
      </c>
      <c r="AX62" s="120">
        <f t="shared" si="7"/>
        <v>1</v>
      </c>
      <c r="AY62" s="120" t="str">
        <f t="shared" si="72"/>
        <v>符合</v>
      </c>
      <c r="AZ62" s="120">
        <f t="shared" si="8"/>
        <v>75</v>
      </c>
      <c r="BA62" s="120">
        <f t="shared" si="9"/>
        <v>20481231</v>
      </c>
      <c r="BB62" s="120" t="str">
        <f t="shared" si="10"/>
        <v>137.1.1~137.12.31</v>
      </c>
      <c r="BC62" s="121">
        <f t="shared" si="73"/>
      </c>
      <c r="BD62" s="122">
        <f t="shared" si="74"/>
      </c>
      <c r="BE62" s="122"/>
      <c r="BF62" s="120"/>
      <c r="BG62" s="123">
        <f t="shared" si="75"/>
      </c>
      <c r="BH62" s="31">
        <f t="shared" si="76"/>
        <v>1</v>
      </c>
      <c r="BI62" s="7">
        <f t="shared" si="77"/>
        <v>1</v>
      </c>
      <c r="BJ62" s="7">
        <f t="shared" si="78"/>
        <v>0</v>
      </c>
      <c r="BK62" s="124">
        <f t="shared" si="11"/>
        <v>0</v>
      </c>
      <c r="BL62" s="124">
        <f t="shared" si="79"/>
      </c>
      <c r="BM62" s="124">
        <f t="shared" si="80"/>
        <v>0</v>
      </c>
      <c r="BN62" s="124">
        <f t="shared" si="81"/>
      </c>
      <c r="BO62" s="124">
        <f t="shared" si="82"/>
        <v>0</v>
      </c>
      <c r="BP62" s="124">
        <f t="shared" si="12"/>
      </c>
      <c r="BQ62" s="33"/>
      <c r="BR62" s="33"/>
      <c r="BS62" s="33"/>
      <c r="BT62" s="33"/>
      <c r="BU62" s="30"/>
      <c r="BV62" s="30"/>
      <c r="BW62" s="30"/>
      <c r="BX62" s="30"/>
      <c r="BY62" s="30"/>
      <c r="BZ62" s="30"/>
      <c r="CA62" s="30"/>
      <c r="CB62" s="125"/>
      <c r="CC62" s="126"/>
      <c r="CD62" s="126"/>
      <c r="CE62" s="127"/>
      <c r="CF62" s="127"/>
      <c r="CG62" s="127"/>
      <c r="CH62" s="128"/>
      <c r="CI62" s="128"/>
      <c r="CJ62" s="128"/>
      <c r="CK62" s="183">
        <f t="shared" si="18"/>
        <v>13</v>
      </c>
      <c r="CL62" s="7">
        <f t="shared" si="19"/>
        <v>12</v>
      </c>
      <c r="CM62" s="20">
        <f t="shared" si="20"/>
        <v>137</v>
      </c>
      <c r="CN62" s="382">
        <f t="shared" si="83"/>
        <v>54409</v>
      </c>
      <c r="CO62" s="185">
        <f t="shared" si="84"/>
        <v>12</v>
      </c>
      <c r="CP62" s="2">
        <f t="shared" si="138"/>
        <v>17</v>
      </c>
      <c r="CQ62" s="382">
        <f t="shared" si="85"/>
        <v>54405</v>
      </c>
      <c r="CR62" s="185">
        <f t="shared" si="135"/>
        <v>12</v>
      </c>
      <c r="CS62" s="2">
        <f t="shared" si="136"/>
        <v>13</v>
      </c>
      <c r="CT62" s="2" t="str">
        <f t="shared" si="139"/>
        <v>初任</v>
      </c>
      <c r="CU62" s="382">
        <f t="shared" si="87"/>
        <v>54405</v>
      </c>
      <c r="CV62" s="2">
        <f t="shared" si="140"/>
        <v>12</v>
      </c>
      <c r="CW62" s="2" t="str">
        <f t="shared" si="141"/>
        <v>生日</v>
      </c>
      <c r="CX62" s="382">
        <f t="shared" si="90"/>
        <v>54409</v>
      </c>
      <c r="CY62" s="2">
        <f t="shared" si="142"/>
        <v>12</v>
      </c>
      <c r="CZ62" s="2">
        <f t="shared" si="22"/>
        <v>0</v>
      </c>
      <c r="DA62" s="2">
        <f t="shared" si="92"/>
      </c>
      <c r="DB62" s="2">
        <f t="shared" si="23"/>
      </c>
      <c r="DC62" s="2">
        <f t="shared" si="93"/>
      </c>
      <c r="DD62" s="2">
        <f t="shared" si="94"/>
      </c>
      <c r="DE62" s="2">
        <f t="shared" si="95"/>
      </c>
      <c r="DF62" s="2">
        <f t="shared" si="24"/>
      </c>
      <c r="DG62" s="129">
        <f t="shared" si="25"/>
      </c>
      <c r="DH62" s="2">
        <f t="shared" si="26"/>
      </c>
      <c r="DI62" s="2">
        <f t="shared" si="96"/>
      </c>
      <c r="DJ62" s="129">
        <f t="shared" si="97"/>
      </c>
      <c r="DK62" s="2">
        <f t="shared" si="27"/>
      </c>
      <c r="DL62" s="2">
        <f t="shared" si="98"/>
      </c>
      <c r="DM62" s="129">
        <f t="shared" si="99"/>
      </c>
      <c r="DN62" s="2">
        <f t="shared" si="28"/>
      </c>
      <c r="DO62" s="2">
        <f t="shared" si="29"/>
      </c>
      <c r="DP62" s="129">
        <f t="shared" si="100"/>
      </c>
      <c r="DQ62" s="2">
        <f t="shared" si="30"/>
      </c>
      <c r="DR62" s="2">
        <f t="shared" si="31"/>
      </c>
      <c r="DS62" s="129">
        <f t="shared" si="101"/>
      </c>
      <c r="DT62" s="2">
        <f t="shared" si="32"/>
      </c>
      <c r="DU62" s="2">
        <f t="shared" si="33"/>
      </c>
      <c r="DV62" s="129">
        <f t="shared" si="102"/>
      </c>
      <c r="DW62" s="2">
        <f t="shared" si="103"/>
      </c>
      <c r="DX62" s="2">
        <f t="shared" si="104"/>
      </c>
      <c r="DY62" s="129">
        <f t="shared" si="105"/>
      </c>
      <c r="DZ62" s="129"/>
      <c r="EA62" s="21">
        <f t="shared" si="106"/>
      </c>
      <c r="EB62" s="382">
        <f t="shared" si="107"/>
        <v>401769</v>
      </c>
      <c r="EC62" s="382">
        <f t="shared" si="108"/>
        <v>401769</v>
      </c>
      <c r="ED62" s="2">
        <f t="shared" si="109"/>
      </c>
      <c r="EE62" s="382">
        <f t="shared" si="110"/>
        <v>401769</v>
      </c>
      <c r="EF62" s="382">
        <f t="shared" si="111"/>
        <v>401769</v>
      </c>
      <c r="EG62" s="382">
        <f t="shared" si="112"/>
        <v>401769</v>
      </c>
      <c r="EH62" s="382"/>
      <c r="EI62" s="382">
        <f t="shared" si="113"/>
        <v>401769</v>
      </c>
      <c r="EJ62" s="208">
        <f t="shared" si="34"/>
        <v>401769</v>
      </c>
      <c r="EK62" s="2">
        <f t="shared" si="114"/>
      </c>
      <c r="EL62" s="2">
        <f t="shared" si="35"/>
      </c>
      <c r="EM62" s="34"/>
      <c r="EN62" s="7">
        <f t="shared" si="36"/>
        <v>1</v>
      </c>
      <c r="EO62" s="124">
        <f t="shared" si="37"/>
        <v>0</v>
      </c>
      <c r="EP62" s="214" t="str">
        <f t="shared" si="38"/>
        <v>●</v>
      </c>
      <c r="EQ62" s="213" t="str">
        <f t="shared" si="39"/>
        <v>●</v>
      </c>
      <c r="ER62" s="213" t="e">
        <f t="shared" si="40"/>
        <v>#VALUE!</v>
      </c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2">
        <f t="shared" si="41"/>
        <v>65</v>
      </c>
      <c r="FD62" s="20"/>
      <c r="FE62" s="20">
        <f t="shared" si="115"/>
        <v>137</v>
      </c>
      <c r="FF62" s="2">
        <f t="shared" si="116"/>
        <v>1</v>
      </c>
      <c r="FG62" s="2">
        <f t="shared" si="117"/>
        <v>1</v>
      </c>
      <c r="FH62" s="2">
        <f t="shared" si="118"/>
        <v>1</v>
      </c>
      <c r="FI62" s="2">
        <f t="shared" si="119"/>
        <v>1</v>
      </c>
      <c r="FJ62" s="20"/>
      <c r="FK62" s="326">
        <f t="shared" si="120"/>
        <v>0</v>
      </c>
      <c r="FL62" s="326">
        <f t="shared" si="121"/>
        <v>0</v>
      </c>
      <c r="FM62" s="326">
        <f t="shared" si="122"/>
        <v>0</v>
      </c>
      <c r="FN62" s="326">
        <f t="shared" si="123"/>
        <v>0</v>
      </c>
      <c r="FP62" s="326">
        <f t="shared" si="124"/>
      </c>
      <c r="FQ62" s="326">
        <f t="shared" si="125"/>
      </c>
      <c r="FR62" s="326">
        <f t="shared" si="126"/>
      </c>
      <c r="FS62" s="326">
        <f t="shared" si="127"/>
      </c>
      <c r="GF62" s="2">
        <v>65</v>
      </c>
      <c r="GG62" s="2">
        <f t="shared" si="128"/>
        <v>1</v>
      </c>
      <c r="GH62" s="2">
        <f t="shared" si="129"/>
      </c>
      <c r="GI62" s="20">
        <f t="shared" si="130"/>
      </c>
      <c r="GJ62" s="20">
        <f t="shared" si="42"/>
      </c>
      <c r="GK62" s="20">
        <f t="shared" si="131"/>
      </c>
    </row>
    <row r="63" spans="1:193" s="29" customFormat="1" ht="15" customHeight="1">
      <c r="A63" s="144"/>
      <c r="B63" s="150">
        <f t="shared" si="132"/>
        <v>138</v>
      </c>
      <c r="C63" s="26">
        <f t="shared" si="43"/>
        <v>20491231</v>
      </c>
      <c r="D63" s="26" t="str">
        <f t="shared" si="44"/>
        <v>2049</v>
      </c>
      <c r="E63" s="26" t="str">
        <f t="shared" si="45"/>
        <v>12</v>
      </c>
      <c r="F63" s="26" t="str">
        <f t="shared" si="46"/>
        <v>31</v>
      </c>
      <c r="G63" s="26" t="str">
        <f t="shared" si="47"/>
        <v>2049/12/31</v>
      </c>
      <c r="H63" s="117">
        <f t="shared" si="0"/>
        <v>56</v>
      </c>
      <c r="I63" s="117">
        <f t="shared" si="48"/>
        <v>0</v>
      </c>
      <c r="J63" s="26">
        <f t="shared" si="137"/>
        <v>18</v>
      </c>
      <c r="K63" s="118">
        <f aca="true" t="shared" si="143" ref="K63:K94">IF($AN$9+$AN$10=0,H63,INT((((IF(OR(AND(I63+$U$10=11,J63+$W$10&gt;=30),I63+$U$10&gt;11),$S$10+H63+1,$S$10+H63))*12+(IF(AND(I63+$U$10=11,J63+$W$10&gt;=30),0,IF(J63+$W$10&gt;=30,MOD(I63+$U$10,12)+1,MOD(I63+$U$10,12)))))*30+((MOD(J63+$W$10,30)))-($S$9*12+$U$9)*30+$W$9)/360))</f>
        <v>56</v>
      </c>
      <c r="L63" s="118">
        <f aca="true" t="shared" si="144" ref="L63:L94">IF($AN$9+$AN$10=0,I63,IF(((MOD(J63+$W$10,30)))&lt;$W$9,MOD((IF(AND(I63+$U$10=11,J63+$W$10&gt;=30),0,IF(J63+$W$10&gt;=30,MOD(I63+$U$10,12)+1,MOD(I63+$U$10,12))))-$U$9-1,12),MOD((IF(AND(I63+$U$10=11,J63+$W$10&gt;=30),0,IF(J63+$W$10&gt;=30,MOD(I63+$U$10,12)+1,MOD(I63+$U$10,12))))-$U$9,12)))</f>
        <v>0</v>
      </c>
      <c r="M63" s="118">
        <f aca="true" t="shared" si="145" ref="M63:M94">IF($AN$9+$AN$10=0,J63,MOD((MOD(J63+$W$10,30))-$W$9,30))</f>
        <v>18</v>
      </c>
      <c r="N63" s="606" t="str">
        <f t="shared" si="133"/>
        <v>138.1.1~138.12.31</v>
      </c>
      <c r="O63" s="607"/>
      <c r="P63" s="607"/>
      <c r="Q63" s="608"/>
      <c r="R63" s="300" t="str">
        <f t="shared" si="134"/>
        <v>65</v>
      </c>
      <c r="S63" s="338">
        <f t="shared" si="49"/>
        <v>76</v>
      </c>
      <c r="T63" s="339">
        <f t="shared" si="50"/>
        <v>56</v>
      </c>
      <c r="U63" s="204">
        <f t="shared" si="51"/>
        <v>132</v>
      </c>
      <c r="V63" s="341">
        <v>65</v>
      </c>
      <c r="W63" s="429">
        <f t="shared" si="52"/>
      </c>
      <c r="X63" s="430"/>
      <c r="Y63" s="431"/>
      <c r="Z63" s="230">
        <f t="shared" si="53"/>
      </c>
      <c r="AA63" s="220">
        <f t="shared" si="54"/>
      </c>
      <c r="AB63" s="393">
        <f t="shared" si="55"/>
      </c>
      <c r="AC63" s="393">
        <f t="shared" si="56"/>
      </c>
      <c r="AD63" s="220">
        <f t="shared" si="57"/>
      </c>
      <c r="AE63" s="220">
        <f t="shared" si="58"/>
      </c>
      <c r="AF63" s="231">
        <f t="shared" si="59"/>
      </c>
      <c r="AG63" s="310">
        <f t="shared" si="60"/>
      </c>
      <c r="AH63" s="228">
        <f t="shared" si="61"/>
      </c>
      <c r="AI63" s="321">
        <f t="shared" si="62"/>
      </c>
      <c r="AJ63" s="321">
        <f t="shared" si="63"/>
      </c>
      <c r="AK63" s="321">
        <f t="shared" si="64"/>
      </c>
      <c r="AL63" s="321">
        <f t="shared" si="65"/>
      </c>
      <c r="AM63" s="282">
        <f t="shared" si="66"/>
      </c>
      <c r="AN63" s="103"/>
      <c r="AO63" s="119">
        <f aca="true" t="shared" si="146" ref="AO63:AO94">IF($B$5="×",0,IF($Y$8&gt;=20180101,0,IF(OR(AND(C63&lt;20210101,S63&gt;=50,T63&gt;24,U63&gt;=R63),AND(C63&lt;20260101,S63&gt;=55,T63&gt;24,U63&gt;=R63),AND(C63&lt;20310101,S63&gt;=60,T63&gt;24,U63&gt;=R63)),1,0)))</f>
        <v>0</v>
      </c>
      <c r="AP63" s="119">
        <f t="shared" si="67"/>
        <v>1</v>
      </c>
      <c r="AQ63" s="119">
        <f t="shared" si="68"/>
        <v>1</v>
      </c>
      <c r="AR63" s="119">
        <f>IF(OR(AO63+AP63+AQ63+GG63&gt;0,SUM($AO$30:AQ62)+GG62&gt;0),1,0)</f>
        <v>1</v>
      </c>
      <c r="AS63" s="119">
        <f aca="true" t="shared" si="147" ref="AS63:AS94">IF(AND(C63&lt;20210101,AO63=1),"符合【109年(含)以前，年資≧25年&amp;年齡≧50歲】且【年資＋年齡≧當年法定指標數】之擇領全額月退休金條件",IF(AND(C63&lt;20260101,AO63=1),"符合【110(含)至114年(含)之間，年資≧25年&amp;年齡≧55歲】且【年資＋年齡≧當年法定指標數】之擇領全額月退休金條件",IF(AND(C63&lt;20310101,AO63=1),"符合【115(含)至119年(含)之間，年資≧25年&amp;年齡≧60歲】且【年資＋年齡≧當年法定指標數】之擇領全額月退休金條件","")))</f>
      </c>
      <c r="AT63" s="119" t="str">
        <f t="shared" si="69"/>
        <v>符合「年齡滿65歲、年資滿15年」之屆齡退休擇領月退休金條件</v>
      </c>
      <c r="AU63" s="119">
        <f t="shared" si="70"/>
      </c>
      <c r="AV63" s="380" t="str">
        <f t="shared" si="71"/>
        <v>符合「年齡滿65歲、年資滿15年」之屆齡退休擇領月退休金條件</v>
      </c>
      <c r="AW63" s="120">
        <f aca="true" t="shared" si="148" ref="AW63:AW94">IF(AND(S63&gt;=65,T63&lt;15),1,0)</f>
        <v>0</v>
      </c>
      <c r="AX63" s="120">
        <f aca="true" t="shared" si="149" ref="AX63:AX94">IF(AND(S63&gt;=65,T63&gt;=15),1,0)</f>
        <v>1</v>
      </c>
      <c r="AY63" s="120" t="str">
        <f t="shared" si="72"/>
        <v>符合</v>
      </c>
      <c r="AZ63" s="120">
        <f aca="true" t="shared" si="150" ref="AZ63:AZ94">S63</f>
        <v>76</v>
      </c>
      <c r="BA63" s="120">
        <f aca="true" t="shared" si="151" ref="BA63:BA94">C63</f>
        <v>20491231</v>
      </c>
      <c r="BB63" s="120" t="str">
        <f aca="true" t="shared" si="152" ref="BB63:BB94">N63</f>
        <v>138.1.1~138.12.31</v>
      </c>
      <c r="BC63" s="121">
        <f t="shared" si="73"/>
      </c>
      <c r="BD63" s="122">
        <f t="shared" si="74"/>
      </c>
      <c r="BE63" s="122"/>
      <c r="BF63" s="120"/>
      <c r="BG63" s="123">
        <f t="shared" si="75"/>
      </c>
      <c r="BH63" s="31">
        <f t="shared" si="76"/>
        <v>1</v>
      </c>
      <c r="BI63" s="7">
        <f t="shared" si="77"/>
        <v>1</v>
      </c>
      <c r="BJ63" s="7">
        <f t="shared" si="78"/>
        <v>0</v>
      </c>
      <c r="BK63" s="124">
        <f aca="true" t="shared" si="153" ref="BK63:BK94">IF(OR(B63&gt;=110,T63&lt;30),0,IF(AND(BH64=1,BH63=1),0,IF(AND(BH64=1,BH63=0),0.04,IF(AND(BH65=1,BH63=0),0.08,IF(AND(BH66=1,BH63=0),0.12,IF(AND(BH67=1,BH63=0),0.16,IF(AND(BH68=1,BH63=0),0.2,0)))))))</f>
        <v>0</v>
      </c>
      <c r="BL63" s="124">
        <f t="shared" si="79"/>
      </c>
      <c r="BM63" s="124">
        <f t="shared" si="80"/>
        <v>0</v>
      </c>
      <c r="BN63" s="124">
        <f t="shared" si="81"/>
      </c>
      <c r="BO63" s="124">
        <f t="shared" si="82"/>
        <v>0</v>
      </c>
      <c r="BP63" s="124">
        <f t="shared" si="12"/>
      </c>
      <c r="BQ63" s="33"/>
      <c r="BR63" s="33"/>
      <c r="BS63" s="33"/>
      <c r="BT63" s="33"/>
      <c r="BU63" s="30"/>
      <c r="BV63" s="30"/>
      <c r="BW63" s="30"/>
      <c r="BX63" s="30"/>
      <c r="BY63" s="30"/>
      <c r="BZ63" s="30"/>
      <c r="CA63" s="30"/>
      <c r="CB63" s="125"/>
      <c r="CC63" s="126"/>
      <c r="CD63" s="126"/>
      <c r="CE63" s="127"/>
      <c r="CF63" s="127"/>
      <c r="CG63" s="127"/>
      <c r="CH63" s="128"/>
      <c r="CI63" s="128"/>
      <c r="CJ63" s="128"/>
      <c r="CK63" s="183">
        <f aca="true" t="shared" si="154" ref="CK63:CK94">IF($U$9+$U$10+$W$9+$W$10=0,$W$8,IF(AND($U$9-$U$10=0,$W$9-$W$10=0),$W$8,IF(M63=0,1,IF(AND(MOD(D63,4)=0,CR63=2),29-M63+1,IF(AND(MOD(D63,4)&gt;0,CR63=2),28-M63+1,IF(OR(CR63=4,CR63=6,CR63=9,CR63=11),30-M63+1,31-M63+1))))))</f>
        <v>13</v>
      </c>
      <c r="CL63" s="7">
        <f aca="true" t="shared" si="155" ref="CL63:CL94">IF($S$9+$S$10+$U$9+$U$10+$W$9+$W$10=0,$CR$9,IF(AND(L63=0,M63=0),1,IF(AND(L63&gt;0,M63=0),12-L63+1,12-L63)))</f>
        <v>12</v>
      </c>
      <c r="CM63" s="20">
        <f aca="true" t="shared" si="156" ref="CM63:CM94">IF($S$5="公務人員",D63-1911,D63-1911)</f>
        <v>138</v>
      </c>
      <c r="CN63" s="382">
        <f t="shared" si="83"/>
        <v>54774</v>
      </c>
      <c r="CO63" s="185">
        <f t="shared" si="84"/>
        <v>12</v>
      </c>
      <c r="CP63" s="2">
        <f t="shared" si="138"/>
        <v>17</v>
      </c>
      <c r="CQ63" s="382">
        <f t="shared" si="85"/>
        <v>54770</v>
      </c>
      <c r="CR63" s="185">
        <f t="shared" si="135"/>
        <v>12</v>
      </c>
      <c r="CS63" s="2">
        <f t="shared" si="136"/>
        <v>13</v>
      </c>
      <c r="CT63" s="2" t="str">
        <f t="shared" si="139"/>
        <v>初任</v>
      </c>
      <c r="CU63" s="382">
        <f t="shared" si="87"/>
        <v>54770</v>
      </c>
      <c r="CV63" s="2">
        <f t="shared" si="140"/>
        <v>12</v>
      </c>
      <c r="CW63" s="2" t="str">
        <f t="shared" si="141"/>
        <v>生日</v>
      </c>
      <c r="CX63" s="382">
        <f t="shared" si="90"/>
        <v>54774</v>
      </c>
      <c r="CY63" s="2">
        <f t="shared" si="142"/>
        <v>12</v>
      </c>
      <c r="CZ63" s="2">
        <f aca="true" t="shared" si="157" ref="CZ63:CZ94">IF(BG63="",0,1)</f>
        <v>0</v>
      </c>
      <c r="DA63" s="2">
        <f t="shared" si="92"/>
      </c>
      <c r="DB63" s="2">
        <f aca="true" t="shared" si="158" ref="DB63:DB94">IF(DA63="","",IF(OR(AND(R63=90,$S$5="公務人員"),AND(R63=85,$S$5="高中以下教師")),"",U63-R63))</f>
      </c>
      <c r="DC63" s="2">
        <f t="shared" si="93"/>
      </c>
      <c r="DD63" s="2">
        <f t="shared" si="94"/>
      </c>
      <c r="DE63" s="2">
        <f t="shared" si="95"/>
      </c>
      <c r="DF63" s="2">
        <f t="shared" si="24"/>
      </c>
      <c r="DG63" s="129">
        <f t="shared" si="25"/>
      </c>
      <c r="DH63" s="2">
        <f aca="true" t="shared" si="159" ref="DH63:DH94">IF(AND(DA63=75,DB63=1,S63=50,T63&gt;25),CN63,IF(AND(DA63=75,DB63=1,S63&gt;50,T63=25),CQ63,IF(AND(DA63=75,DB63=1,S63&gt;50,T63&gt;25,S37="公務人員"),CM63&amp;".1.1",IF(AND(DA63=75,DB63=1,S63&gt;50,T63&gt;25,S37="高中以下教師"),CM63&amp;".1.1",""))))</f>
      </c>
      <c r="DI63" s="2">
        <f t="shared" si="96"/>
      </c>
      <c r="DJ63" s="129">
        <f t="shared" si="97"/>
      </c>
      <c r="DK63" s="2">
        <f aca="true" t="shared" si="160" ref="DK63:DK94">IF(AND(DA63=75,DB63&gt;=2,S63=50,T63&gt;25),CN63,IF(AND(DA63=75,DB63&gt;=2,S63&gt;50,T63=25),CQ63,IF(AND(DA63=75,DB63&gt;=2,S63&gt;50,T63&gt;25,S37="公務人員"),CM63&amp;".1.1",IF(AND(DA63=75,DB63&gt;=2,S63&gt;50,T63&gt;25,S37="高中以下教師"),CM63&amp;".1.1",""))))</f>
      </c>
      <c r="DL63" s="2">
        <f t="shared" si="98"/>
      </c>
      <c r="DM63" s="129">
        <f t="shared" si="99"/>
      </c>
      <c r="DN63" s="2">
        <f aca="true" t="shared" si="161" ref="DN63:DN94">IF(AND(DA63=55,S63=55,T63=30),CY63,IF(AND(DA63=55,S63&gt;55,T63=30),CR63,IF(AND(DA63=55,S63=55,T63&gt;30),CO63,"")))</f>
      </c>
      <c r="DO63" s="2">
        <f aca="true" t="shared" si="162" ref="DO63:DO94">IF(AND(DA63=55,S63=55,T63=30),CX63,IF(AND(DA63=55,S63&gt;55,T63=30),CQ63,IF(AND(DA63=55,S63=55,T63&gt;30),CN63,"")))</f>
      </c>
      <c r="DP63" s="129">
        <f t="shared" si="100"/>
      </c>
      <c r="DQ63" s="2">
        <f aca="true" t="shared" si="163" ref="DQ63:DQ94">IF(AND(DA63=60,S63=60,T63=15),CY63,IF(AND(DA63=60,S63&gt;60,T63=15),CR63,IF(AND(DA63=60,S63=60,T63&gt;15),CO63,"")))</f>
      </c>
      <c r="DR63" s="2">
        <f aca="true" t="shared" si="164" ref="DR63:DR94">IF(AND(DA63=60,S63=60,T63=15),CX63,IF(AND(DA63=60,S63&gt;60,T63=15),CQ63,IF(AND(DA63=60,S63=60,T63&gt;15),CN63,"")))</f>
      </c>
      <c r="DS63" s="129">
        <f t="shared" si="101"/>
      </c>
      <c r="DT63" s="2">
        <f aca="true" t="shared" si="165" ref="DT63:DT94">IF(AND(DA63=85,S63=55,T63=30),CY63,IF(AND(DA63=85,S63&gt;55,T63=30),CR63,IF(AND(DA63=85,S63=55,T63&gt;30),CO63,IF(AND(DA63=85,S63=60,T63=15),CY63,IF(AND(DA63=85,S63&gt;60,T63=15),CR63,IF(AND(DA63=85,S63=60,T63&gt;15),CO63,""))))))</f>
      </c>
      <c r="DU63" s="2">
        <f aca="true" t="shared" si="166" ref="DU63:DU94">IF(AND(DA63=85,S63=55,T63=30),CX63,IF(AND(DA63=85,S63&gt;55,T63=30),CQ63,IF(AND(DA63=85,S63=55,T63&gt;30),CN63,IF(AND(DA63=85,S63=60,T63=15),CX63,IF(AND(DA63=85,S63&gt;60,T63=15),CQ63,IF(AND(DA63=85,S63=60,T63&gt;15),CN63,""))))))</f>
      </c>
      <c r="DV63" s="129">
        <f t="shared" si="102"/>
      </c>
      <c r="DW63" s="2">
        <f t="shared" si="103"/>
      </c>
      <c r="DX63" s="2">
        <f t="shared" si="104"/>
      </c>
      <c r="DY63" s="129">
        <f t="shared" si="105"/>
      </c>
      <c r="DZ63" s="129"/>
      <c r="EA63" s="21">
        <f t="shared" si="106"/>
      </c>
      <c r="EB63" s="382">
        <f t="shared" si="107"/>
        <v>401769</v>
      </c>
      <c r="EC63" s="382">
        <f t="shared" si="108"/>
        <v>401769</v>
      </c>
      <c r="ED63" s="2">
        <f t="shared" si="109"/>
      </c>
      <c r="EE63" s="382">
        <f t="shared" si="110"/>
        <v>401769</v>
      </c>
      <c r="EF63" s="382">
        <f t="shared" si="111"/>
        <v>401769</v>
      </c>
      <c r="EG63" s="382">
        <f t="shared" si="112"/>
        <v>401769</v>
      </c>
      <c r="EH63" s="382"/>
      <c r="EI63" s="382">
        <f t="shared" si="113"/>
        <v>401769</v>
      </c>
      <c r="EJ63" s="208">
        <f t="shared" si="34"/>
        <v>401769</v>
      </c>
      <c r="EK63" s="2">
        <f t="shared" si="114"/>
      </c>
      <c r="EL63" s="2">
        <f aca="true" t="shared" si="167" ref="EL63:EL94">IF(EK63="","",IF(AND(R63&lt;85,EK63&gt;=113),"◆但@*%#...喔麥尬～上開生效日期已逾10年過渡期，仍否再適用指標數規定，恐有疑義！",""))</f>
      </c>
      <c r="EM63" s="34"/>
      <c r="EN63" s="7">
        <f aca="true" t="shared" si="168" ref="EN63:EN94">IF($S$5="公務人員",IF(AND(T63&gt;=15,S63&gt;=65),1,0),IF(AND(T63&gt;=15,S63&gt;=65),1,0))</f>
        <v>1</v>
      </c>
      <c r="EO63" s="124">
        <f aca="true" t="shared" si="169" ref="EO63:EO94">IF(T63&gt;=10,IF(AND(EN64=1,EN63=1),0,IF(AND(EN64=1,EN63=0),0.04,IF(AND(EN65=1,EN63=0),0.08,IF(AND(EN66=1,EN63=0),0.12,IF(AND(EN67=1,EN63=0),0.16,IF(AND(EN68=1,EN63=0),0.2,0)))))),0)</f>
        <v>0</v>
      </c>
      <c r="EP63" s="214" t="str">
        <f aca="true" t="shared" si="170" ref="EP63:EP94">IF(OR(AND(S63&gt;=60,T63&gt;=25),AND(S63&gt;=60,T63&gt;=15)),"●","")</f>
        <v>●</v>
      </c>
      <c r="EQ63" s="213" t="str">
        <f aca="true" t="shared" si="171" ref="EQ63:EQ94">IF(AND(S63&gt;=50,T63&gt;=25),"●","")</f>
        <v>●</v>
      </c>
      <c r="ER63" s="213" t="e">
        <f aca="true" t="shared" si="172" ref="ER63:ER94">IF(OR(AND($S$5="公務人員",T63&gt;=30,S63&gt;=55),AND($S$5="公務人員",T63&gt;=25,S63&gt;=60),AND($S$5="公務人員",T63&gt;=15,S63&gt;=60),AND($S$5="高中以下教師",T63&gt;=30,S63&gt;=50),AND($S$5="高中以下教師",T63&gt;=25,S63&gt;=55)),-1*BP63,"")</f>
        <v>#VALUE!</v>
      </c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2">
        <f t="shared" si="41"/>
        <v>65</v>
      </c>
      <c r="FD63" s="20"/>
      <c r="FE63" s="20">
        <f t="shared" si="115"/>
        <v>138</v>
      </c>
      <c r="FF63" s="2">
        <f t="shared" si="116"/>
        <v>1</v>
      </c>
      <c r="FG63" s="2">
        <f t="shared" si="117"/>
        <v>1</v>
      </c>
      <c r="FH63" s="2">
        <f t="shared" si="118"/>
        <v>1</v>
      </c>
      <c r="FI63" s="2">
        <f t="shared" si="119"/>
        <v>1</v>
      </c>
      <c r="FJ63" s="20"/>
      <c r="FK63" s="326">
        <f t="shared" si="120"/>
        <v>0</v>
      </c>
      <c r="FL63" s="326">
        <f t="shared" si="121"/>
        <v>0</v>
      </c>
      <c r="FM63" s="326">
        <f t="shared" si="122"/>
        <v>0</v>
      </c>
      <c r="FN63" s="326">
        <f t="shared" si="123"/>
        <v>0</v>
      </c>
      <c r="FP63" s="326">
        <f t="shared" si="124"/>
      </c>
      <c r="FQ63" s="326">
        <f t="shared" si="125"/>
      </c>
      <c r="FR63" s="326">
        <f t="shared" si="126"/>
      </c>
      <c r="FS63" s="326">
        <f t="shared" si="127"/>
      </c>
      <c r="GF63" s="2">
        <v>65</v>
      </c>
      <c r="GG63" s="2">
        <f t="shared" si="128"/>
        <v>1</v>
      </c>
      <c r="GH63" s="2">
        <f t="shared" si="129"/>
      </c>
      <c r="GI63" s="20">
        <f t="shared" si="130"/>
      </c>
      <c r="GJ63" s="20">
        <f t="shared" si="42"/>
      </c>
      <c r="GK63" s="20">
        <f t="shared" si="131"/>
      </c>
    </row>
    <row r="64" spans="1:193" s="29" customFormat="1" ht="15" customHeight="1">
      <c r="A64" s="144"/>
      <c r="B64" s="150">
        <f t="shared" si="132"/>
        <v>139</v>
      </c>
      <c r="C64" s="26">
        <f t="shared" si="43"/>
        <v>20501231</v>
      </c>
      <c r="D64" s="26" t="str">
        <f t="shared" si="44"/>
        <v>2050</v>
      </c>
      <c r="E64" s="26" t="str">
        <f t="shared" si="45"/>
        <v>12</v>
      </c>
      <c r="F64" s="26" t="str">
        <f t="shared" si="46"/>
        <v>31</v>
      </c>
      <c r="G64" s="26" t="str">
        <f t="shared" si="47"/>
        <v>2050/12/31</v>
      </c>
      <c r="H64" s="117">
        <f t="shared" si="0"/>
        <v>57</v>
      </c>
      <c r="I64" s="117">
        <f t="shared" si="48"/>
        <v>0</v>
      </c>
      <c r="J64" s="26">
        <f t="shared" si="137"/>
        <v>18</v>
      </c>
      <c r="K64" s="118">
        <f t="shared" si="143"/>
        <v>57</v>
      </c>
      <c r="L64" s="118">
        <f t="shared" si="144"/>
        <v>0</v>
      </c>
      <c r="M64" s="118">
        <f t="shared" si="145"/>
        <v>18</v>
      </c>
      <c r="N64" s="606" t="str">
        <f t="shared" si="133"/>
        <v>139.1.1~139.12.31</v>
      </c>
      <c r="O64" s="607"/>
      <c r="P64" s="607"/>
      <c r="Q64" s="608"/>
      <c r="R64" s="300" t="str">
        <f t="shared" si="134"/>
        <v>65</v>
      </c>
      <c r="S64" s="338">
        <f t="shared" si="49"/>
        <v>77</v>
      </c>
      <c r="T64" s="339">
        <f t="shared" si="50"/>
        <v>57</v>
      </c>
      <c r="U64" s="204">
        <f t="shared" si="51"/>
        <v>134</v>
      </c>
      <c r="V64" s="341">
        <v>65</v>
      </c>
      <c r="W64" s="429">
        <f t="shared" si="52"/>
      </c>
      <c r="X64" s="430"/>
      <c r="Y64" s="431"/>
      <c r="Z64" s="230">
        <f t="shared" si="53"/>
      </c>
      <c r="AA64" s="220">
        <f t="shared" si="54"/>
      </c>
      <c r="AB64" s="393">
        <f t="shared" si="55"/>
      </c>
      <c r="AC64" s="393">
        <f t="shared" si="56"/>
      </c>
      <c r="AD64" s="220">
        <f t="shared" si="57"/>
      </c>
      <c r="AE64" s="220">
        <f t="shared" si="58"/>
      </c>
      <c r="AF64" s="231">
        <f t="shared" si="59"/>
      </c>
      <c r="AG64" s="310">
        <f t="shared" si="60"/>
      </c>
      <c r="AH64" s="228">
        <f t="shared" si="61"/>
      </c>
      <c r="AI64" s="321">
        <f t="shared" si="62"/>
      </c>
      <c r="AJ64" s="321">
        <f t="shared" si="63"/>
      </c>
      <c r="AK64" s="321">
        <f t="shared" si="64"/>
      </c>
      <c r="AL64" s="321">
        <f t="shared" si="65"/>
      </c>
      <c r="AM64" s="282">
        <f t="shared" si="66"/>
      </c>
      <c r="AN64" s="103"/>
      <c r="AO64" s="119">
        <f t="shared" si="146"/>
        <v>0</v>
      </c>
      <c r="AP64" s="119">
        <f t="shared" si="67"/>
        <v>1</v>
      </c>
      <c r="AQ64" s="119">
        <f t="shared" si="68"/>
        <v>1</v>
      </c>
      <c r="AR64" s="119">
        <f>IF(OR(AO64+AP64+AQ64+GG64&gt;0,SUM($AO$30:AQ63)+GG63&gt;0),1,0)</f>
        <v>1</v>
      </c>
      <c r="AS64" s="119">
        <f t="shared" si="147"/>
      </c>
      <c r="AT64" s="119" t="str">
        <f t="shared" si="69"/>
        <v>符合「年齡滿65歲、年資滿15年」之屆齡退休擇領月退休金條件</v>
      </c>
      <c r="AU64" s="119">
        <f t="shared" si="70"/>
      </c>
      <c r="AV64" s="380" t="str">
        <f t="shared" si="71"/>
        <v>符合「年齡滿65歲、年資滿15年」之屆齡退休擇領月退休金條件</v>
      </c>
      <c r="AW64" s="120">
        <f t="shared" si="148"/>
        <v>0</v>
      </c>
      <c r="AX64" s="120">
        <f t="shared" si="149"/>
        <v>1</v>
      </c>
      <c r="AY64" s="120" t="str">
        <f t="shared" si="72"/>
        <v>符合</v>
      </c>
      <c r="AZ64" s="120">
        <f t="shared" si="150"/>
        <v>77</v>
      </c>
      <c r="BA64" s="120">
        <f t="shared" si="151"/>
        <v>20501231</v>
      </c>
      <c r="BB64" s="120" t="str">
        <f t="shared" si="152"/>
        <v>139.1.1~139.12.31</v>
      </c>
      <c r="BC64" s="121">
        <f t="shared" si="73"/>
      </c>
      <c r="BD64" s="122">
        <f t="shared" si="74"/>
      </c>
      <c r="BE64" s="122"/>
      <c r="BF64" s="120"/>
      <c r="BG64" s="123">
        <f t="shared" si="75"/>
      </c>
      <c r="BH64" s="31">
        <f t="shared" si="76"/>
        <v>1</v>
      </c>
      <c r="BI64" s="7">
        <f t="shared" si="77"/>
        <v>1</v>
      </c>
      <c r="BJ64" s="7">
        <f t="shared" si="78"/>
        <v>0</v>
      </c>
      <c r="BK64" s="124">
        <f t="shared" si="153"/>
        <v>0</v>
      </c>
      <c r="BL64" s="124">
        <f t="shared" si="79"/>
      </c>
      <c r="BM64" s="124">
        <f t="shared" si="80"/>
        <v>0</v>
      </c>
      <c r="BN64" s="124">
        <f t="shared" si="81"/>
      </c>
      <c r="BO64" s="124">
        <f t="shared" si="82"/>
        <v>0</v>
      </c>
      <c r="BP64" s="124">
        <f t="shared" si="12"/>
      </c>
      <c r="BQ64" s="33"/>
      <c r="BR64" s="33"/>
      <c r="BS64" s="33"/>
      <c r="BT64" s="33"/>
      <c r="BU64" s="30"/>
      <c r="BV64" s="30"/>
      <c r="BW64" s="30"/>
      <c r="BX64" s="30"/>
      <c r="BY64" s="30"/>
      <c r="BZ64" s="30"/>
      <c r="CA64" s="30"/>
      <c r="CB64" s="125"/>
      <c r="CC64" s="126"/>
      <c r="CD64" s="126"/>
      <c r="CE64" s="127"/>
      <c r="CF64" s="127"/>
      <c r="CG64" s="127"/>
      <c r="CH64" s="128"/>
      <c r="CI64" s="128"/>
      <c r="CJ64" s="128"/>
      <c r="CK64" s="183">
        <f t="shared" si="154"/>
        <v>13</v>
      </c>
      <c r="CL64" s="7">
        <f t="shared" si="155"/>
        <v>12</v>
      </c>
      <c r="CM64" s="20">
        <f t="shared" si="156"/>
        <v>139</v>
      </c>
      <c r="CN64" s="382">
        <f t="shared" si="83"/>
        <v>55139</v>
      </c>
      <c r="CO64" s="185">
        <f t="shared" si="84"/>
        <v>12</v>
      </c>
      <c r="CP64" s="2">
        <f t="shared" si="138"/>
        <v>17</v>
      </c>
      <c r="CQ64" s="382">
        <f t="shared" si="85"/>
        <v>55135</v>
      </c>
      <c r="CR64" s="185">
        <f t="shared" si="135"/>
        <v>12</v>
      </c>
      <c r="CS64" s="2">
        <f t="shared" si="136"/>
        <v>13</v>
      </c>
      <c r="CT64" s="2" t="str">
        <f t="shared" si="139"/>
        <v>初任</v>
      </c>
      <c r="CU64" s="382">
        <f t="shared" si="87"/>
        <v>55135</v>
      </c>
      <c r="CV64" s="2">
        <f t="shared" si="140"/>
        <v>12</v>
      </c>
      <c r="CW64" s="2" t="str">
        <f t="shared" si="141"/>
        <v>生日</v>
      </c>
      <c r="CX64" s="382">
        <f t="shared" si="90"/>
        <v>55139</v>
      </c>
      <c r="CY64" s="2">
        <f t="shared" si="142"/>
        <v>12</v>
      </c>
      <c r="CZ64" s="2">
        <f t="shared" si="157"/>
        <v>0</v>
      </c>
      <c r="DA64" s="2">
        <f t="shared" si="92"/>
      </c>
      <c r="DB64" s="2">
        <f t="shared" si="158"/>
      </c>
      <c r="DC64" s="2">
        <f t="shared" si="93"/>
      </c>
      <c r="DD64" s="2">
        <f t="shared" si="94"/>
      </c>
      <c r="DE64" s="2">
        <f t="shared" si="95"/>
      </c>
      <c r="DF64" s="2">
        <f t="shared" si="24"/>
      </c>
      <c r="DG64" s="129">
        <f t="shared" si="25"/>
      </c>
      <c r="DH64" s="2">
        <f t="shared" si="159"/>
      </c>
      <c r="DI64" s="2">
        <f t="shared" si="96"/>
      </c>
      <c r="DJ64" s="129">
        <f t="shared" si="97"/>
      </c>
      <c r="DK64" s="2">
        <f t="shared" si="160"/>
      </c>
      <c r="DL64" s="2">
        <f t="shared" si="98"/>
      </c>
      <c r="DM64" s="129">
        <f t="shared" si="99"/>
      </c>
      <c r="DN64" s="2">
        <f t="shared" si="161"/>
      </c>
      <c r="DO64" s="2">
        <f t="shared" si="162"/>
      </c>
      <c r="DP64" s="129">
        <f t="shared" si="100"/>
      </c>
      <c r="DQ64" s="2">
        <f t="shared" si="163"/>
      </c>
      <c r="DR64" s="2">
        <f t="shared" si="164"/>
      </c>
      <c r="DS64" s="129">
        <f t="shared" si="101"/>
      </c>
      <c r="DT64" s="2">
        <f t="shared" si="165"/>
      </c>
      <c r="DU64" s="2">
        <f t="shared" si="166"/>
      </c>
      <c r="DV64" s="129">
        <f t="shared" si="102"/>
      </c>
      <c r="DW64" s="2">
        <f t="shared" si="103"/>
      </c>
      <c r="DX64" s="2">
        <f t="shared" si="104"/>
      </c>
      <c r="DY64" s="129">
        <f t="shared" si="105"/>
      </c>
      <c r="DZ64" s="129"/>
      <c r="EA64" s="21">
        <f t="shared" si="106"/>
      </c>
      <c r="EB64" s="382">
        <f t="shared" si="107"/>
        <v>401769</v>
      </c>
      <c r="EC64" s="382">
        <f t="shared" si="108"/>
        <v>401769</v>
      </c>
      <c r="ED64" s="2">
        <f t="shared" si="109"/>
      </c>
      <c r="EE64" s="382">
        <f t="shared" si="110"/>
        <v>401769</v>
      </c>
      <c r="EF64" s="382">
        <f t="shared" si="111"/>
        <v>401769</v>
      </c>
      <c r="EG64" s="382">
        <f t="shared" si="112"/>
        <v>401769</v>
      </c>
      <c r="EH64" s="382"/>
      <c r="EI64" s="382">
        <f t="shared" si="113"/>
        <v>401769</v>
      </c>
      <c r="EJ64" s="208">
        <f t="shared" si="34"/>
        <v>401769</v>
      </c>
      <c r="EK64" s="2">
        <f t="shared" si="114"/>
      </c>
      <c r="EL64" s="2">
        <f t="shared" si="167"/>
      </c>
      <c r="EM64" s="34"/>
      <c r="EN64" s="7">
        <f t="shared" si="168"/>
        <v>1</v>
      </c>
      <c r="EO64" s="124">
        <f t="shared" si="169"/>
        <v>0</v>
      </c>
      <c r="EP64" s="214" t="str">
        <f t="shared" si="170"/>
        <v>●</v>
      </c>
      <c r="EQ64" s="213" t="str">
        <f t="shared" si="171"/>
        <v>●</v>
      </c>
      <c r="ER64" s="213" t="e">
        <f t="shared" si="172"/>
        <v>#VALUE!</v>
      </c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2">
        <f t="shared" si="41"/>
        <v>65</v>
      </c>
      <c r="FD64" s="20"/>
      <c r="FE64" s="20">
        <f t="shared" si="115"/>
        <v>139</v>
      </c>
      <c r="FF64" s="2">
        <f t="shared" si="116"/>
        <v>1</v>
      </c>
      <c r="FG64" s="2">
        <f t="shared" si="117"/>
        <v>1</v>
      </c>
      <c r="FH64" s="2">
        <f t="shared" si="118"/>
        <v>1</v>
      </c>
      <c r="FI64" s="2">
        <f t="shared" si="119"/>
        <v>1</v>
      </c>
      <c r="FJ64" s="20"/>
      <c r="FK64" s="326">
        <f t="shared" si="120"/>
        <v>0</v>
      </c>
      <c r="FL64" s="326">
        <f t="shared" si="121"/>
        <v>0</v>
      </c>
      <c r="FM64" s="326">
        <f t="shared" si="122"/>
        <v>0</v>
      </c>
      <c r="FN64" s="326">
        <f t="shared" si="123"/>
        <v>0</v>
      </c>
      <c r="FP64" s="326">
        <f t="shared" si="124"/>
      </c>
      <c r="FQ64" s="326">
        <f t="shared" si="125"/>
      </c>
      <c r="FR64" s="326">
        <f t="shared" si="126"/>
      </c>
      <c r="FS64" s="326">
        <f t="shared" si="127"/>
      </c>
      <c r="GF64" s="2">
        <v>65</v>
      </c>
      <c r="GG64" s="2">
        <f t="shared" si="128"/>
        <v>1</v>
      </c>
      <c r="GH64" s="2">
        <f t="shared" si="129"/>
      </c>
      <c r="GI64" s="20">
        <f t="shared" si="130"/>
      </c>
      <c r="GJ64" s="20">
        <f t="shared" si="42"/>
      </c>
      <c r="GK64" s="20">
        <f t="shared" si="131"/>
      </c>
    </row>
    <row r="65" spans="1:193" s="29" customFormat="1" ht="15" customHeight="1">
      <c r="A65" s="144"/>
      <c r="B65" s="150">
        <f t="shared" si="132"/>
        <v>140</v>
      </c>
      <c r="C65" s="26">
        <f t="shared" si="43"/>
        <v>20511231</v>
      </c>
      <c r="D65" s="26" t="str">
        <f t="shared" si="44"/>
        <v>2051</v>
      </c>
      <c r="E65" s="26" t="str">
        <f t="shared" si="45"/>
        <v>12</v>
      </c>
      <c r="F65" s="26" t="str">
        <f t="shared" si="46"/>
        <v>31</v>
      </c>
      <c r="G65" s="26" t="str">
        <f t="shared" si="47"/>
        <v>2051/12/31</v>
      </c>
      <c r="H65" s="117">
        <f t="shared" si="0"/>
        <v>58</v>
      </c>
      <c r="I65" s="117">
        <f t="shared" si="48"/>
        <v>0</v>
      </c>
      <c r="J65" s="26">
        <f t="shared" si="137"/>
        <v>18</v>
      </c>
      <c r="K65" s="118">
        <f t="shared" si="143"/>
        <v>58</v>
      </c>
      <c r="L65" s="118">
        <f t="shared" si="144"/>
        <v>0</v>
      </c>
      <c r="M65" s="118">
        <f t="shared" si="145"/>
        <v>18</v>
      </c>
      <c r="N65" s="606" t="str">
        <f t="shared" si="133"/>
        <v>140.1.1~140.12.31</v>
      </c>
      <c r="O65" s="607"/>
      <c r="P65" s="607"/>
      <c r="Q65" s="608"/>
      <c r="R65" s="300" t="str">
        <f t="shared" si="134"/>
        <v>65</v>
      </c>
      <c r="S65" s="338">
        <f t="shared" si="49"/>
        <v>78</v>
      </c>
      <c r="T65" s="339">
        <f t="shared" si="50"/>
        <v>58</v>
      </c>
      <c r="U65" s="204">
        <f t="shared" si="51"/>
        <v>136</v>
      </c>
      <c r="V65" s="341">
        <v>65</v>
      </c>
      <c r="W65" s="429">
        <f t="shared" si="52"/>
      </c>
      <c r="X65" s="430"/>
      <c r="Y65" s="431"/>
      <c r="Z65" s="230">
        <f t="shared" si="53"/>
      </c>
      <c r="AA65" s="220">
        <f t="shared" si="54"/>
      </c>
      <c r="AB65" s="393">
        <f t="shared" si="55"/>
      </c>
      <c r="AC65" s="393">
        <f t="shared" si="56"/>
      </c>
      <c r="AD65" s="220">
        <f t="shared" si="57"/>
      </c>
      <c r="AE65" s="220">
        <f t="shared" si="58"/>
      </c>
      <c r="AF65" s="231">
        <f t="shared" si="59"/>
      </c>
      <c r="AG65" s="310">
        <f t="shared" si="60"/>
      </c>
      <c r="AH65" s="228">
        <f t="shared" si="61"/>
      </c>
      <c r="AI65" s="321">
        <f t="shared" si="62"/>
      </c>
      <c r="AJ65" s="321">
        <f t="shared" si="63"/>
      </c>
      <c r="AK65" s="321">
        <f t="shared" si="64"/>
      </c>
      <c r="AL65" s="321">
        <f t="shared" si="65"/>
      </c>
      <c r="AM65" s="282">
        <f t="shared" si="66"/>
      </c>
      <c r="AN65" s="103"/>
      <c r="AO65" s="119">
        <f t="shared" si="146"/>
        <v>0</v>
      </c>
      <c r="AP65" s="119">
        <f t="shared" si="67"/>
        <v>1</v>
      </c>
      <c r="AQ65" s="119">
        <f t="shared" si="68"/>
        <v>1</v>
      </c>
      <c r="AR65" s="119">
        <f>IF(OR(AO65+AP65+AQ65+GG65&gt;0,SUM($AO$30:AQ64)+GG64&gt;0),1,0)</f>
        <v>1</v>
      </c>
      <c r="AS65" s="119">
        <f t="shared" si="147"/>
      </c>
      <c r="AT65" s="119" t="str">
        <f t="shared" si="69"/>
        <v>符合「年齡滿65歲、年資滿15年」之屆齡退休擇領月退休金條件</v>
      </c>
      <c r="AU65" s="119">
        <f t="shared" si="70"/>
      </c>
      <c r="AV65" s="380" t="str">
        <f t="shared" si="71"/>
        <v>符合「年齡滿65歲、年資滿15年」之屆齡退休擇領月退休金條件</v>
      </c>
      <c r="AW65" s="120">
        <f t="shared" si="148"/>
        <v>0</v>
      </c>
      <c r="AX65" s="120">
        <f t="shared" si="149"/>
        <v>1</v>
      </c>
      <c r="AY65" s="120" t="str">
        <f t="shared" si="72"/>
        <v>符合</v>
      </c>
      <c r="AZ65" s="120">
        <f t="shared" si="150"/>
        <v>78</v>
      </c>
      <c r="BA65" s="120">
        <f t="shared" si="151"/>
        <v>20511231</v>
      </c>
      <c r="BB65" s="120" t="str">
        <f t="shared" si="152"/>
        <v>140.1.1~140.12.31</v>
      </c>
      <c r="BC65" s="121">
        <f t="shared" si="73"/>
      </c>
      <c r="BD65" s="122">
        <f t="shared" si="74"/>
      </c>
      <c r="BE65" s="122"/>
      <c r="BF65" s="120"/>
      <c r="BG65" s="123">
        <f t="shared" si="75"/>
      </c>
      <c r="BH65" s="31">
        <f t="shared" si="76"/>
        <v>1</v>
      </c>
      <c r="BI65" s="7">
        <f t="shared" si="77"/>
        <v>1</v>
      </c>
      <c r="BJ65" s="7">
        <f t="shared" si="78"/>
        <v>0</v>
      </c>
      <c r="BK65" s="124">
        <f t="shared" si="153"/>
        <v>0</v>
      </c>
      <c r="BL65" s="124">
        <f t="shared" si="79"/>
      </c>
      <c r="BM65" s="124">
        <f t="shared" si="80"/>
        <v>0</v>
      </c>
      <c r="BN65" s="124">
        <f t="shared" si="81"/>
      </c>
      <c r="BO65" s="124">
        <f t="shared" si="82"/>
        <v>0</v>
      </c>
      <c r="BP65" s="124">
        <f t="shared" si="12"/>
      </c>
      <c r="BQ65" s="33"/>
      <c r="BR65" s="33"/>
      <c r="BS65" s="33"/>
      <c r="BT65" s="33"/>
      <c r="BU65" s="30"/>
      <c r="BV65" s="30"/>
      <c r="BW65" s="30"/>
      <c r="BX65" s="30"/>
      <c r="BY65" s="30"/>
      <c r="BZ65" s="30"/>
      <c r="CA65" s="30"/>
      <c r="CB65" s="125"/>
      <c r="CC65" s="126"/>
      <c r="CD65" s="126"/>
      <c r="CE65" s="127"/>
      <c r="CF65" s="127"/>
      <c r="CG65" s="127"/>
      <c r="CH65" s="128"/>
      <c r="CI65" s="128"/>
      <c r="CJ65" s="128"/>
      <c r="CK65" s="183">
        <f t="shared" si="154"/>
        <v>13</v>
      </c>
      <c r="CL65" s="7">
        <f t="shared" si="155"/>
        <v>12</v>
      </c>
      <c r="CM65" s="20">
        <f t="shared" si="156"/>
        <v>140</v>
      </c>
      <c r="CN65" s="382">
        <f t="shared" si="83"/>
        <v>55504</v>
      </c>
      <c r="CO65" s="185">
        <f t="shared" si="84"/>
        <v>12</v>
      </c>
      <c r="CP65" s="2">
        <f t="shared" si="138"/>
        <v>17</v>
      </c>
      <c r="CQ65" s="382">
        <f t="shared" si="85"/>
        <v>55500</v>
      </c>
      <c r="CR65" s="185">
        <f t="shared" si="135"/>
        <v>12</v>
      </c>
      <c r="CS65" s="2">
        <f t="shared" si="136"/>
        <v>13</v>
      </c>
      <c r="CT65" s="2" t="str">
        <f t="shared" si="139"/>
        <v>初任</v>
      </c>
      <c r="CU65" s="382">
        <f t="shared" si="87"/>
        <v>55500</v>
      </c>
      <c r="CV65" s="2">
        <f t="shared" si="140"/>
        <v>12</v>
      </c>
      <c r="CW65" s="2" t="str">
        <f t="shared" si="141"/>
        <v>生日</v>
      </c>
      <c r="CX65" s="382">
        <f t="shared" si="90"/>
        <v>55504</v>
      </c>
      <c r="CY65" s="2">
        <f t="shared" si="142"/>
        <v>12</v>
      </c>
      <c r="CZ65" s="2">
        <f t="shared" si="157"/>
        <v>0</v>
      </c>
      <c r="DA65" s="2">
        <f t="shared" si="92"/>
      </c>
      <c r="DB65" s="2">
        <f t="shared" si="158"/>
      </c>
      <c r="DC65" s="2">
        <f t="shared" si="93"/>
      </c>
      <c r="DD65" s="2">
        <f t="shared" si="94"/>
      </c>
      <c r="DE65" s="2">
        <f t="shared" si="95"/>
      </c>
      <c r="DF65" s="2">
        <f t="shared" si="24"/>
      </c>
      <c r="DG65" s="129">
        <f t="shared" si="25"/>
      </c>
      <c r="DH65" s="2">
        <f t="shared" si="159"/>
      </c>
      <c r="DI65" s="2">
        <f t="shared" si="96"/>
      </c>
      <c r="DJ65" s="129">
        <f t="shared" si="97"/>
      </c>
      <c r="DK65" s="2">
        <f t="shared" si="160"/>
      </c>
      <c r="DL65" s="2">
        <f t="shared" si="98"/>
      </c>
      <c r="DM65" s="129">
        <f t="shared" si="99"/>
      </c>
      <c r="DN65" s="2">
        <f t="shared" si="161"/>
      </c>
      <c r="DO65" s="2">
        <f t="shared" si="162"/>
      </c>
      <c r="DP65" s="129">
        <f t="shared" si="100"/>
      </c>
      <c r="DQ65" s="2">
        <f t="shared" si="163"/>
      </c>
      <c r="DR65" s="2">
        <f t="shared" si="164"/>
      </c>
      <c r="DS65" s="129">
        <f t="shared" si="101"/>
      </c>
      <c r="DT65" s="2">
        <f t="shared" si="165"/>
      </c>
      <c r="DU65" s="2">
        <f t="shared" si="166"/>
      </c>
      <c r="DV65" s="129">
        <f t="shared" si="102"/>
      </c>
      <c r="DW65" s="2">
        <f t="shared" si="103"/>
      </c>
      <c r="DX65" s="2">
        <f t="shared" si="104"/>
      </c>
      <c r="DY65" s="129">
        <f t="shared" si="105"/>
      </c>
      <c r="DZ65" s="129"/>
      <c r="EA65" s="21">
        <f t="shared" si="106"/>
      </c>
      <c r="EB65" s="382">
        <f t="shared" si="107"/>
        <v>401769</v>
      </c>
      <c r="EC65" s="382">
        <f t="shared" si="108"/>
        <v>401769</v>
      </c>
      <c r="ED65" s="2">
        <f t="shared" si="109"/>
      </c>
      <c r="EE65" s="382">
        <f t="shared" si="110"/>
        <v>401769</v>
      </c>
      <c r="EF65" s="382">
        <f t="shared" si="111"/>
        <v>401769</v>
      </c>
      <c r="EG65" s="382">
        <f t="shared" si="112"/>
        <v>401769</v>
      </c>
      <c r="EH65" s="382"/>
      <c r="EI65" s="382">
        <f t="shared" si="113"/>
        <v>401769</v>
      </c>
      <c r="EJ65" s="208">
        <f t="shared" si="34"/>
        <v>401769</v>
      </c>
      <c r="EK65" s="2">
        <f t="shared" si="114"/>
      </c>
      <c r="EL65" s="2">
        <f t="shared" si="167"/>
      </c>
      <c r="EM65" s="34"/>
      <c r="EN65" s="7">
        <f t="shared" si="168"/>
        <v>1</v>
      </c>
      <c r="EO65" s="124">
        <f t="shared" si="169"/>
        <v>0</v>
      </c>
      <c r="EP65" s="214" t="str">
        <f t="shared" si="170"/>
        <v>●</v>
      </c>
      <c r="EQ65" s="213" t="str">
        <f t="shared" si="171"/>
        <v>●</v>
      </c>
      <c r="ER65" s="213" t="e">
        <f t="shared" si="172"/>
        <v>#VALUE!</v>
      </c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2">
        <f t="shared" si="41"/>
        <v>65</v>
      </c>
      <c r="FD65" s="20"/>
      <c r="FE65" s="20">
        <f t="shared" si="115"/>
        <v>140</v>
      </c>
      <c r="FF65" s="2">
        <f t="shared" si="116"/>
        <v>1</v>
      </c>
      <c r="FG65" s="2">
        <f t="shared" si="117"/>
        <v>1</v>
      </c>
      <c r="FH65" s="2">
        <f t="shared" si="118"/>
        <v>1</v>
      </c>
      <c r="FI65" s="2">
        <f t="shared" si="119"/>
        <v>1</v>
      </c>
      <c r="FJ65" s="20"/>
      <c r="FK65" s="326">
        <f t="shared" si="120"/>
        <v>0</v>
      </c>
      <c r="FL65" s="326">
        <f t="shared" si="121"/>
        <v>0</v>
      </c>
      <c r="FM65" s="326">
        <f t="shared" si="122"/>
        <v>0</v>
      </c>
      <c r="FN65" s="326">
        <f t="shared" si="123"/>
        <v>0</v>
      </c>
      <c r="FP65" s="326">
        <f t="shared" si="124"/>
      </c>
      <c r="FQ65" s="326">
        <f t="shared" si="125"/>
      </c>
      <c r="FR65" s="326">
        <f t="shared" si="126"/>
      </c>
      <c r="FS65" s="326">
        <f t="shared" si="127"/>
      </c>
      <c r="GF65" s="2">
        <v>65</v>
      </c>
      <c r="GG65" s="2">
        <f t="shared" si="128"/>
        <v>1</v>
      </c>
      <c r="GH65" s="2">
        <f t="shared" si="129"/>
      </c>
      <c r="GI65" s="20">
        <f t="shared" si="130"/>
      </c>
      <c r="GJ65" s="20">
        <f t="shared" si="42"/>
      </c>
      <c r="GK65" s="20">
        <f t="shared" si="131"/>
      </c>
    </row>
    <row r="66" spans="1:193" s="29" customFormat="1" ht="15" customHeight="1">
      <c r="A66" s="144"/>
      <c r="B66" s="150">
        <f t="shared" si="132"/>
        <v>141</v>
      </c>
      <c r="C66" s="26">
        <f t="shared" si="43"/>
        <v>20521231</v>
      </c>
      <c r="D66" s="26" t="str">
        <f t="shared" si="44"/>
        <v>2052</v>
      </c>
      <c r="E66" s="26" t="str">
        <f t="shared" si="45"/>
        <v>12</v>
      </c>
      <c r="F66" s="26" t="str">
        <f t="shared" si="46"/>
        <v>31</v>
      </c>
      <c r="G66" s="26" t="str">
        <f t="shared" si="47"/>
        <v>2052/12/31</v>
      </c>
      <c r="H66" s="117">
        <f t="shared" si="0"/>
        <v>59</v>
      </c>
      <c r="I66" s="117">
        <f t="shared" si="48"/>
        <v>0</v>
      </c>
      <c r="J66" s="26">
        <f t="shared" si="137"/>
        <v>18</v>
      </c>
      <c r="K66" s="118">
        <f t="shared" si="143"/>
        <v>59</v>
      </c>
      <c r="L66" s="118">
        <f t="shared" si="144"/>
        <v>0</v>
      </c>
      <c r="M66" s="118">
        <f t="shared" si="145"/>
        <v>18</v>
      </c>
      <c r="N66" s="606" t="str">
        <f t="shared" si="133"/>
        <v>141.1.1~141.12.31</v>
      </c>
      <c r="O66" s="607"/>
      <c r="P66" s="607"/>
      <c r="Q66" s="608"/>
      <c r="R66" s="300" t="str">
        <f t="shared" si="134"/>
        <v>65</v>
      </c>
      <c r="S66" s="338">
        <f t="shared" si="49"/>
        <v>79</v>
      </c>
      <c r="T66" s="339">
        <f t="shared" si="50"/>
        <v>59</v>
      </c>
      <c r="U66" s="204">
        <f t="shared" si="51"/>
        <v>138</v>
      </c>
      <c r="V66" s="341">
        <v>65</v>
      </c>
      <c r="W66" s="429">
        <f t="shared" si="52"/>
      </c>
      <c r="X66" s="430"/>
      <c r="Y66" s="431"/>
      <c r="Z66" s="230">
        <f t="shared" si="53"/>
      </c>
      <c r="AA66" s="220">
        <f t="shared" si="54"/>
      </c>
      <c r="AB66" s="393">
        <f t="shared" si="55"/>
      </c>
      <c r="AC66" s="393">
        <f t="shared" si="56"/>
      </c>
      <c r="AD66" s="220">
        <f t="shared" si="57"/>
      </c>
      <c r="AE66" s="220">
        <f t="shared" si="58"/>
      </c>
      <c r="AF66" s="231">
        <f t="shared" si="59"/>
      </c>
      <c r="AG66" s="310">
        <f t="shared" si="60"/>
      </c>
      <c r="AH66" s="228">
        <f t="shared" si="61"/>
      </c>
      <c r="AI66" s="321">
        <f t="shared" si="62"/>
      </c>
      <c r="AJ66" s="321">
        <f t="shared" si="63"/>
      </c>
      <c r="AK66" s="321">
        <f t="shared" si="64"/>
      </c>
      <c r="AL66" s="321">
        <f t="shared" si="65"/>
      </c>
      <c r="AM66" s="282">
        <f t="shared" si="66"/>
      </c>
      <c r="AN66" s="103"/>
      <c r="AO66" s="119">
        <f t="shared" si="146"/>
        <v>0</v>
      </c>
      <c r="AP66" s="119">
        <f t="shared" si="67"/>
        <v>1</v>
      </c>
      <c r="AQ66" s="119">
        <f t="shared" si="68"/>
        <v>1</v>
      </c>
      <c r="AR66" s="119">
        <f>IF(OR(AO66+AP66+AQ66+GG66&gt;0,SUM($AO$30:AQ65)+GG65&gt;0),1,0)</f>
        <v>1</v>
      </c>
      <c r="AS66" s="119">
        <f t="shared" si="147"/>
      </c>
      <c r="AT66" s="119" t="str">
        <f t="shared" si="69"/>
        <v>符合「年齡滿65歲、年資滿15年」之屆齡退休擇領月退休金條件</v>
      </c>
      <c r="AU66" s="119">
        <f t="shared" si="70"/>
      </c>
      <c r="AV66" s="380" t="str">
        <f t="shared" si="71"/>
        <v>符合「年齡滿65歲、年資滿15年」之屆齡退休擇領月退休金條件</v>
      </c>
      <c r="AW66" s="120">
        <f t="shared" si="148"/>
        <v>0</v>
      </c>
      <c r="AX66" s="120">
        <f t="shared" si="149"/>
        <v>1</v>
      </c>
      <c r="AY66" s="120" t="str">
        <f t="shared" si="72"/>
        <v>符合</v>
      </c>
      <c r="AZ66" s="120">
        <f t="shared" si="150"/>
        <v>79</v>
      </c>
      <c r="BA66" s="120">
        <f t="shared" si="151"/>
        <v>20521231</v>
      </c>
      <c r="BB66" s="120" t="str">
        <f t="shared" si="152"/>
        <v>141.1.1~141.12.31</v>
      </c>
      <c r="BC66" s="121">
        <f t="shared" si="73"/>
      </c>
      <c r="BD66" s="122">
        <f t="shared" si="74"/>
      </c>
      <c r="BE66" s="122"/>
      <c r="BF66" s="120"/>
      <c r="BG66" s="123">
        <f t="shared" si="75"/>
      </c>
      <c r="BH66" s="31">
        <f t="shared" si="76"/>
        <v>1</v>
      </c>
      <c r="BI66" s="7">
        <f t="shared" si="77"/>
        <v>1</v>
      </c>
      <c r="BJ66" s="7">
        <f t="shared" si="78"/>
        <v>0</v>
      </c>
      <c r="BK66" s="124">
        <f t="shared" si="153"/>
        <v>0</v>
      </c>
      <c r="BL66" s="124">
        <f t="shared" si="79"/>
      </c>
      <c r="BM66" s="124">
        <f t="shared" si="80"/>
        <v>0</v>
      </c>
      <c r="BN66" s="124">
        <f t="shared" si="81"/>
      </c>
      <c r="BO66" s="124">
        <f t="shared" si="82"/>
        <v>0</v>
      </c>
      <c r="BP66" s="124">
        <f t="shared" si="12"/>
      </c>
      <c r="BQ66" s="33"/>
      <c r="BR66" s="33"/>
      <c r="BS66" s="33"/>
      <c r="BT66" s="33"/>
      <c r="BU66" s="30"/>
      <c r="BV66" s="30"/>
      <c r="BW66" s="30"/>
      <c r="BX66" s="30"/>
      <c r="BY66" s="30"/>
      <c r="BZ66" s="30"/>
      <c r="CA66" s="30"/>
      <c r="CB66" s="125"/>
      <c r="CC66" s="126"/>
      <c r="CD66" s="126"/>
      <c r="CE66" s="127"/>
      <c r="CF66" s="127"/>
      <c r="CG66" s="127"/>
      <c r="CH66" s="128"/>
      <c r="CI66" s="128"/>
      <c r="CJ66" s="128"/>
      <c r="CK66" s="183">
        <f t="shared" si="154"/>
        <v>13</v>
      </c>
      <c r="CL66" s="7">
        <f t="shared" si="155"/>
        <v>12</v>
      </c>
      <c r="CM66" s="20">
        <f t="shared" si="156"/>
        <v>141</v>
      </c>
      <c r="CN66" s="382">
        <f t="shared" si="83"/>
        <v>55870</v>
      </c>
      <c r="CO66" s="185">
        <f t="shared" si="84"/>
        <v>12</v>
      </c>
      <c r="CP66" s="2">
        <f t="shared" si="138"/>
        <v>17</v>
      </c>
      <c r="CQ66" s="382">
        <f t="shared" si="85"/>
        <v>55866</v>
      </c>
      <c r="CR66" s="185">
        <f t="shared" si="135"/>
        <v>12</v>
      </c>
      <c r="CS66" s="2">
        <f t="shared" si="136"/>
        <v>13</v>
      </c>
      <c r="CT66" s="2" t="str">
        <f t="shared" si="139"/>
        <v>初任</v>
      </c>
      <c r="CU66" s="382">
        <f t="shared" si="87"/>
        <v>55866</v>
      </c>
      <c r="CV66" s="2">
        <f t="shared" si="140"/>
        <v>12</v>
      </c>
      <c r="CW66" s="2" t="str">
        <f t="shared" si="141"/>
        <v>生日</v>
      </c>
      <c r="CX66" s="382">
        <f t="shared" si="90"/>
        <v>55870</v>
      </c>
      <c r="CY66" s="2">
        <f t="shared" si="142"/>
        <v>12</v>
      </c>
      <c r="CZ66" s="2">
        <f t="shared" si="157"/>
        <v>0</v>
      </c>
      <c r="DA66" s="2">
        <f t="shared" si="92"/>
      </c>
      <c r="DB66" s="2">
        <f t="shared" si="158"/>
      </c>
      <c r="DC66" s="2">
        <f t="shared" si="93"/>
      </c>
      <c r="DD66" s="2">
        <f t="shared" si="94"/>
      </c>
      <c r="DE66" s="2">
        <f t="shared" si="95"/>
      </c>
      <c r="DF66" s="2">
        <f t="shared" si="24"/>
      </c>
      <c r="DG66" s="129">
        <f t="shared" si="25"/>
      </c>
      <c r="DH66" s="2">
        <f t="shared" si="159"/>
      </c>
      <c r="DI66" s="2">
        <f t="shared" si="96"/>
      </c>
      <c r="DJ66" s="129">
        <f t="shared" si="97"/>
      </c>
      <c r="DK66" s="2">
        <f t="shared" si="160"/>
      </c>
      <c r="DL66" s="2">
        <f t="shared" si="98"/>
      </c>
      <c r="DM66" s="129">
        <f t="shared" si="99"/>
      </c>
      <c r="DN66" s="2">
        <f t="shared" si="161"/>
      </c>
      <c r="DO66" s="2">
        <f t="shared" si="162"/>
      </c>
      <c r="DP66" s="129">
        <f t="shared" si="100"/>
      </c>
      <c r="DQ66" s="2">
        <f t="shared" si="163"/>
      </c>
      <c r="DR66" s="2">
        <f t="shared" si="164"/>
      </c>
      <c r="DS66" s="129">
        <f t="shared" si="101"/>
      </c>
      <c r="DT66" s="2">
        <f t="shared" si="165"/>
      </c>
      <c r="DU66" s="2">
        <f t="shared" si="166"/>
      </c>
      <c r="DV66" s="129">
        <f t="shared" si="102"/>
      </c>
      <c r="DW66" s="2">
        <f t="shared" si="103"/>
      </c>
      <c r="DX66" s="2">
        <f t="shared" si="104"/>
      </c>
      <c r="DY66" s="129">
        <f t="shared" si="105"/>
      </c>
      <c r="DZ66" s="129"/>
      <c r="EA66" s="21">
        <f t="shared" si="106"/>
      </c>
      <c r="EB66" s="382">
        <f t="shared" si="107"/>
        <v>401769</v>
      </c>
      <c r="EC66" s="382">
        <f t="shared" si="108"/>
        <v>401769</v>
      </c>
      <c r="ED66" s="2">
        <f t="shared" si="109"/>
      </c>
      <c r="EE66" s="382">
        <f t="shared" si="110"/>
        <v>401769</v>
      </c>
      <c r="EF66" s="382">
        <f t="shared" si="111"/>
        <v>401769</v>
      </c>
      <c r="EG66" s="382">
        <f t="shared" si="112"/>
        <v>401769</v>
      </c>
      <c r="EH66" s="382"/>
      <c r="EI66" s="382">
        <f t="shared" si="113"/>
        <v>401769</v>
      </c>
      <c r="EJ66" s="208">
        <f t="shared" si="34"/>
        <v>401769</v>
      </c>
      <c r="EK66" s="2">
        <f t="shared" si="114"/>
      </c>
      <c r="EL66" s="2">
        <f t="shared" si="167"/>
      </c>
      <c r="EM66" s="34"/>
      <c r="EN66" s="7">
        <f t="shared" si="168"/>
        <v>1</v>
      </c>
      <c r="EO66" s="124">
        <f t="shared" si="169"/>
        <v>0</v>
      </c>
      <c r="EP66" s="214" t="str">
        <f t="shared" si="170"/>
        <v>●</v>
      </c>
      <c r="EQ66" s="213" t="str">
        <f t="shared" si="171"/>
        <v>●</v>
      </c>
      <c r="ER66" s="213" t="e">
        <f t="shared" si="172"/>
        <v>#VALUE!</v>
      </c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2">
        <f t="shared" si="41"/>
        <v>65</v>
      </c>
      <c r="FD66" s="20"/>
      <c r="FE66" s="20">
        <f t="shared" si="115"/>
        <v>141</v>
      </c>
      <c r="FF66" s="2">
        <f t="shared" si="116"/>
        <v>1</v>
      </c>
      <c r="FG66" s="2">
        <f t="shared" si="117"/>
        <v>1</v>
      </c>
      <c r="FH66" s="2">
        <f t="shared" si="118"/>
        <v>1</v>
      </c>
      <c r="FI66" s="2">
        <f t="shared" si="119"/>
        <v>1</v>
      </c>
      <c r="FJ66" s="20"/>
      <c r="FK66" s="326">
        <f t="shared" si="120"/>
        <v>0</v>
      </c>
      <c r="FL66" s="326">
        <f t="shared" si="121"/>
        <v>0</v>
      </c>
      <c r="FM66" s="326">
        <f t="shared" si="122"/>
        <v>0</v>
      </c>
      <c r="FN66" s="326">
        <f t="shared" si="123"/>
        <v>0</v>
      </c>
      <c r="FP66" s="326">
        <f t="shared" si="124"/>
      </c>
      <c r="FQ66" s="326">
        <f t="shared" si="125"/>
      </c>
      <c r="FR66" s="326">
        <f t="shared" si="126"/>
      </c>
      <c r="FS66" s="326">
        <f t="shared" si="127"/>
      </c>
      <c r="GF66" s="2">
        <v>65</v>
      </c>
      <c r="GG66" s="2">
        <f t="shared" si="128"/>
        <v>1</v>
      </c>
      <c r="GH66" s="2">
        <f t="shared" si="129"/>
      </c>
      <c r="GI66" s="20">
        <f t="shared" si="130"/>
      </c>
      <c r="GJ66" s="20">
        <f t="shared" si="42"/>
      </c>
      <c r="GK66" s="20">
        <f t="shared" si="131"/>
      </c>
    </row>
    <row r="67" spans="1:193" s="29" customFormat="1" ht="15" customHeight="1">
      <c r="A67" s="144"/>
      <c r="B67" s="150">
        <f t="shared" si="132"/>
        <v>142</v>
      </c>
      <c r="C67" s="26">
        <f t="shared" si="43"/>
        <v>20531231</v>
      </c>
      <c r="D67" s="26" t="str">
        <f t="shared" si="44"/>
        <v>2053</v>
      </c>
      <c r="E67" s="26" t="str">
        <f t="shared" si="45"/>
        <v>12</v>
      </c>
      <c r="F67" s="26" t="str">
        <f t="shared" si="46"/>
        <v>31</v>
      </c>
      <c r="G67" s="26" t="str">
        <f t="shared" si="47"/>
        <v>2053/12/31</v>
      </c>
      <c r="H67" s="117">
        <f t="shared" si="0"/>
        <v>60</v>
      </c>
      <c r="I67" s="117">
        <f t="shared" si="48"/>
        <v>0</v>
      </c>
      <c r="J67" s="26">
        <f aca="true" t="shared" si="173" ref="J67:J98">IF(BQ59=1,"*",IF(G67=DATE(YEAR(G67),MONTH(G67)+1,1)-1,IF($Z$8=DATE(YEAR($Z$8),MONTH($Z$8)+1,1)-1,0,DAY(DATE(YEAR($Z$8),MONTH($Z$8)+1,1)-1)-DAY($Z$8)),IF(DAY(G67)&gt;=DAY($Z$8),DAY(G67)-DAY($Z$8),DATE(YEAR($Z$8),MONTH($Z$8)+1,1)-1-$Z$8+DAY(G67))))</f>
        <v>18</v>
      </c>
      <c r="K67" s="118">
        <f t="shared" si="143"/>
        <v>60</v>
      </c>
      <c r="L67" s="118">
        <f t="shared" si="144"/>
        <v>0</v>
      </c>
      <c r="M67" s="118">
        <f t="shared" si="145"/>
        <v>18</v>
      </c>
      <c r="N67" s="606" t="str">
        <f t="shared" si="133"/>
        <v>142.1.1~142.12.31</v>
      </c>
      <c r="O67" s="607"/>
      <c r="P67" s="607"/>
      <c r="Q67" s="608"/>
      <c r="R67" s="300" t="str">
        <f t="shared" si="134"/>
        <v>65</v>
      </c>
      <c r="S67" s="338">
        <f t="shared" si="49"/>
        <v>80</v>
      </c>
      <c r="T67" s="339">
        <f t="shared" si="50"/>
        <v>60</v>
      </c>
      <c r="U67" s="204">
        <f t="shared" si="51"/>
        <v>140</v>
      </c>
      <c r="V67" s="341">
        <v>65</v>
      </c>
      <c r="W67" s="429">
        <f t="shared" si="52"/>
      </c>
      <c r="X67" s="430"/>
      <c r="Y67" s="431"/>
      <c r="Z67" s="230">
        <f t="shared" si="53"/>
      </c>
      <c r="AA67" s="220">
        <f t="shared" si="54"/>
      </c>
      <c r="AB67" s="393">
        <f t="shared" si="55"/>
      </c>
      <c r="AC67" s="393">
        <f t="shared" si="56"/>
      </c>
      <c r="AD67" s="220">
        <f t="shared" si="57"/>
      </c>
      <c r="AE67" s="220">
        <f t="shared" si="58"/>
      </c>
      <c r="AF67" s="231">
        <f t="shared" si="59"/>
      </c>
      <c r="AG67" s="310">
        <f t="shared" si="60"/>
      </c>
      <c r="AH67" s="228">
        <f t="shared" si="61"/>
      </c>
      <c r="AI67" s="321">
        <f t="shared" si="62"/>
      </c>
      <c r="AJ67" s="321">
        <f t="shared" si="63"/>
      </c>
      <c r="AK67" s="321">
        <f t="shared" si="64"/>
      </c>
      <c r="AL67" s="321">
        <f t="shared" si="65"/>
      </c>
      <c r="AM67" s="282">
        <f t="shared" si="66"/>
      </c>
      <c r="AN67" s="103"/>
      <c r="AO67" s="119">
        <f t="shared" si="146"/>
        <v>0</v>
      </c>
      <c r="AP67" s="119">
        <f t="shared" si="67"/>
        <v>1</v>
      </c>
      <c r="AQ67" s="119">
        <f t="shared" si="68"/>
        <v>1</v>
      </c>
      <c r="AR67" s="119">
        <f>IF(OR(AO67+AP67+AQ67+GG67&gt;0,SUM($AO$30:AQ66)+GG66&gt;0),1,0)</f>
        <v>1</v>
      </c>
      <c r="AS67" s="119">
        <f t="shared" si="147"/>
      </c>
      <c r="AT67" s="119" t="str">
        <f t="shared" si="69"/>
        <v>符合「年齡滿65歲、年資滿15年」之屆齡退休擇領月退休金條件</v>
      </c>
      <c r="AU67" s="119">
        <f t="shared" si="70"/>
      </c>
      <c r="AV67" s="380" t="str">
        <f t="shared" si="71"/>
        <v>符合「年齡滿65歲、年資滿15年」之屆齡退休擇領月退休金條件</v>
      </c>
      <c r="AW67" s="120">
        <f t="shared" si="148"/>
        <v>0</v>
      </c>
      <c r="AX67" s="120">
        <f t="shared" si="149"/>
        <v>1</v>
      </c>
      <c r="AY67" s="120" t="str">
        <f t="shared" si="72"/>
        <v>符合</v>
      </c>
      <c r="AZ67" s="120">
        <f t="shared" si="150"/>
        <v>80</v>
      </c>
      <c r="BA67" s="120">
        <f t="shared" si="151"/>
        <v>20531231</v>
      </c>
      <c r="BB67" s="120" t="str">
        <f t="shared" si="152"/>
        <v>142.1.1~142.12.31</v>
      </c>
      <c r="BC67" s="121">
        <f t="shared" si="73"/>
      </c>
      <c r="BD67" s="122">
        <f t="shared" si="74"/>
      </c>
      <c r="BE67" s="122"/>
      <c r="BF67" s="120"/>
      <c r="BG67" s="123">
        <f t="shared" si="75"/>
      </c>
      <c r="BH67" s="31">
        <f t="shared" si="76"/>
        <v>1</v>
      </c>
      <c r="BI67" s="7">
        <f t="shared" si="77"/>
        <v>1</v>
      </c>
      <c r="BJ67" s="7">
        <f t="shared" si="78"/>
        <v>0</v>
      </c>
      <c r="BK67" s="124">
        <f t="shared" si="153"/>
        <v>0</v>
      </c>
      <c r="BL67" s="124">
        <f t="shared" si="79"/>
      </c>
      <c r="BM67" s="124">
        <f t="shared" si="80"/>
        <v>0</v>
      </c>
      <c r="BN67" s="124">
        <f t="shared" si="81"/>
      </c>
      <c r="BO67" s="124">
        <f t="shared" si="82"/>
        <v>0</v>
      </c>
      <c r="BP67" s="124">
        <f t="shared" si="12"/>
      </c>
      <c r="BQ67" s="33"/>
      <c r="BR67" s="33"/>
      <c r="BS67" s="33"/>
      <c r="BT67" s="33"/>
      <c r="BU67" s="30"/>
      <c r="BV67" s="30"/>
      <c r="BW67" s="30"/>
      <c r="BX67" s="30"/>
      <c r="BY67" s="30"/>
      <c r="BZ67" s="30"/>
      <c r="CA67" s="30"/>
      <c r="CB67" s="125"/>
      <c r="CC67" s="126"/>
      <c r="CD67" s="126"/>
      <c r="CE67" s="127"/>
      <c r="CF67" s="127"/>
      <c r="CG67" s="127"/>
      <c r="CH67" s="128"/>
      <c r="CI67" s="128"/>
      <c r="CJ67" s="128"/>
      <c r="CK67" s="183">
        <f t="shared" si="154"/>
        <v>13</v>
      </c>
      <c r="CL67" s="7">
        <f t="shared" si="155"/>
        <v>12</v>
      </c>
      <c r="CM67" s="20">
        <f t="shared" si="156"/>
        <v>142</v>
      </c>
      <c r="CN67" s="382">
        <f t="shared" si="83"/>
        <v>56235</v>
      </c>
      <c r="CO67" s="185">
        <f t="shared" si="84"/>
        <v>12</v>
      </c>
      <c r="CP67" s="2">
        <f t="shared" si="138"/>
        <v>17</v>
      </c>
      <c r="CQ67" s="382">
        <f t="shared" si="85"/>
        <v>56231</v>
      </c>
      <c r="CR67" s="185">
        <f t="shared" si="135"/>
        <v>12</v>
      </c>
      <c r="CS67" s="2">
        <f t="shared" si="136"/>
        <v>13</v>
      </c>
      <c r="CT67" s="2" t="str">
        <f t="shared" si="139"/>
        <v>初任</v>
      </c>
      <c r="CU67" s="382">
        <f t="shared" si="87"/>
        <v>56231</v>
      </c>
      <c r="CV67" s="2">
        <f t="shared" si="140"/>
        <v>12</v>
      </c>
      <c r="CW67" s="2" t="str">
        <f t="shared" si="141"/>
        <v>生日</v>
      </c>
      <c r="CX67" s="382">
        <f t="shared" si="90"/>
        <v>56235</v>
      </c>
      <c r="CY67" s="2">
        <f t="shared" si="142"/>
        <v>12</v>
      </c>
      <c r="CZ67" s="2">
        <f t="shared" si="157"/>
        <v>0</v>
      </c>
      <c r="DA67" s="2">
        <f t="shared" si="92"/>
      </c>
      <c r="DB67" s="2">
        <f t="shared" si="158"/>
      </c>
      <c r="DC67" s="2">
        <f t="shared" si="93"/>
      </c>
      <c r="DD67" s="2">
        <f t="shared" si="94"/>
      </c>
      <c r="DE67" s="2">
        <f t="shared" si="95"/>
      </c>
      <c r="DF67" s="2">
        <f t="shared" si="24"/>
      </c>
      <c r="DG67" s="129">
        <f t="shared" si="25"/>
      </c>
      <c r="DH67" s="2">
        <f t="shared" si="159"/>
      </c>
      <c r="DI67" s="2">
        <f t="shared" si="96"/>
      </c>
      <c r="DJ67" s="129">
        <f t="shared" si="97"/>
      </c>
      <c r="DK67" s="2">
        <f t="shared" si="160"/>
      </c>
      <c r="DL67" s="2">
        <f t="shared" si="98"/>
      </c>
      <c r="DM67" s="129">
        <f t="shared" si="99"/>
      </c>
      <c r="DN67" s="2">
        <f t="shared" si="161"/>
      </c>
      <c r="DO67" s="2">
        <f t="shared" si="162"/>
      </c>
      <c r="DP67" s="129">
        <f t="shared" si="100"/>
      </c>
      <c r="DQ67" s="2">
        <f t="shared" si="163"/>
      </c>
      <c r="DR67" s="2">
        <f t="shared" si="164"/>
      </c>
      <c r="DS67" s="129">
        <f t="shared" si="101"/>
      </c>
      <c r="DT67" s="2">
        <f t="shared" si="165"/>
      </c>
      <c r="DU67" s="2">
        <f t="shared" si="166"/>
      </c>
      <c r="DV67" s="129">
        <f t="shared" si="102"/>
      </c>
      <c r="DW67" s="2">
        <f t="shared" si="103"/>
      </c>
      <c r="DX67" s="2">
        <f t="shared" si="104"/>
      </c>
      <c r="DY67" s="129">
        <f t="shared" si="105"/>
      </c>
      <c r="DZ67" s="129"/>
      <c r="EA67" s="21">
        <f t="shared" si="106"/>
      </c>
      <c r="EB67" s="382">
        <f t="shared" si="107"/>
        <v>401769</v>
      </c>
      <c r="EC67" s="382">
        <f t="shared" si="108"/>
        <v>401769</v>
      </c>
      <c r="ED67" s="2">
        <f t="shared" si="109"/>
      </c>
      <c r="EE67" s="382">
        <f t="shared" si="110"/>
        <v>401769</v>
      </c>
      <c r="EF67" s="382">
        <f t="shared" si="111"/>
        <v>401769</v>
      </c>
      <c r="EG67" s="382">
        <f t="shared" si="112"/>
        <v>401769</v>
      </c>
      <c r="EH67" s="382"/>
      <c r="EI67" s="382">
        <f t="shared" si="113"/>
        <v>401769</v>
      </c>
      <c r="EJ67" s="208">
        <f t="shared" si="34"/>
        <v>401769</v>
      </c>
      <c r="EK67" s="2">
        <f t="shared" si="114"/>
      </c>
      <c r="EL67" s="2">
        <f t="shared" si="167"/>
      </c>
      <c r="EM67" s="34"/>
      <c r="EN67" s="7">
        <f t="shared" si="168"/>
        <v>1</v>
      </c>
      <c r="EO67" s="124">
        <f t="shared" si="169"/>
        <v>0</v>
      </c>
      <c r="EP67" s="214" t="str">
        <f t="shared" si="170"/>
        <v>●</v>
      </c>
      <c r="EQ67" s="213" t="str">
        <f t="shared" si="171"/>
        <v>●</v>
      </c>
      <c r="ER67" s="213" t="e">
        <f t="shared" si="172"/>
        <v>#VALUE!</v>
      </c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2">
        <f t="shared" si="41"/>
        <v>65</v>
      </c>
      <c r="FD67" s="20"/>
      <c r="FE67" s="20">
        <f t="shared" si="115"/>
        <v>142</v>
      </c>
      <c r="FF67" s="2">
        <f t="shared" si="116"/>
        <v>1</v>
      </c>
      <c r="FG67" s="2">
        <f t="shared" si="117"/>
        <v>1</v>
      </c>
      <c r="FH67" s="2">
        <f t="shared" si="118"/>
        <v>1</v>
      </c>
      <c r="FI67" s="2">
        <f t="shared" si="119"/>
        <v>1</v>
      </c>
      <c r="FJ67" s="20"/>
      <c r="FK67" s="326">
        <f t="shared" si="120"/>
        <v>0</v>
      </c>
      <c r="FL67" s="326">
        <f t="shared" si="121"/>
        <v>0</v>
      </c>
      <c r="FM67" s="326">
        <f t="shared" si="122"/>
        <v>0</v>
      </c>
      <c r="FN67" s="326">
        <f t="shared" si="123"/>
        <v>0</v>
      </c>
      <c r="FP67" s="326">
        <f t="shared" si="124"/>
      </c>
      <c r="FQ67" s="326">
        <f t="shared" si="125"/>
      </c>
      <c r="FR67" s="326">
        <f t="shared" si="126"/>
      </c>
      <c r="FS67" s="326">
        <f t="shared" si="127"/>
      </c>
      <c r="GF67" s="2">
        <v>65</v>
      </c>
      <c r="GG67" s="2">
        <f t="shared" si="128"/>
        <v>1</v>
      </c>
      <c r="GH67" s="2">
        <f t="shared" si="129"/>
      </c>
      <c r="GI67" s="20">
        <f t="shared" si="130"/>
      </c>
      <c r="GJ67" s="20">
        <f t="shared" si="42"/>
      </c>
      <c r="GK67" s="20">
        <f t="shared" si="131"/>
      </c>
    </row>
    <row r="68" spans="1:193" s="29" customFormat="1" ht="15" customHeight="1">
      <c r="A68" s="144"/>
      <c r="B68" s="150">
        <f t="shared" si="132"/>
        <v>143</v>
      </c>
      <c r="C68" s="26">
        <f t="shared" si="43"/>
        <v>20541231</v>
      </c>
      <c r="D68" s="26" t="str">
        <f t="shared" si="44"/>
        <v>2054</v>
      </c>
      <c r="E68" s="26" t="str">
        <f t="shared" si="45"/>
        <v>12</v>
      </c>
      <c r="F68" s="26" t="str">
        <f t="shared" si="46"/>
        <v>31</v>
      </c>
      <c r="G68" s="26" t="str">
        <f t="shared" si="47"/>
        <v>2054/12/31</v>
      </c>
      <c r="H68" s="117">
        <f t="shared" si="0"/>
        <v>61</v>
      </c>
      <c r="I68" s="117">
        <f t="shared" si="48"/>
        <v>0</v>
      </c>
      <c r="J68" s="26">
        <f t="shared" si="173"/>
        <v>18</v>
      </c>
      <c r="K68" s="118">
        <f t="shared" si="143"/>
        <v>61</v>
      </c>
      <c r="L68" s="118">
        <f t="shared" si="144"/>
        <v>0</v>
      </c>
      <c r="M68" s="118">
        <f t="shared" si="145"/>
        <v>18</v>
      </c>
      <c r="N68" s="606" t="str">
        <f t="shared" si="133"/>
        <v>143.1.1~143.12.31</v>
      </c>
      <c r="O68" s="607"/>
      <c r="P68" s="607"/>
      <c r="Q68" s="608"/>
      <c r="R68" s="300" t="str">
        <f t="shared" si="134"/>
        <v>65</v>
      </c>
      <c r="S68" s="338">
        <f t="shared" si="49"/>
        <v>81</v>
      </c>
      <c r="T68" s="339">
        <f t="shared" si="50"/>
        <v>61</v>
      </c>
      <c r="U68" s="204">
        <f t="shared" si="51"/>
        <v>142</v>
      </c>
      <c r="V68" s="341">
        <v>65</v>
      </c>
      <c r="W68" s="429">
        <f t="shared" si="52"/>
      </c>
      <c r="X68" s="430"/>
      <c r="Y68" s="431"/>
      <c r="Z68" s="230">
        <f t="shared" si="53"/>
      </c>
      <c r="AA68" s="220">
        <f t="shared" si="54"/>
      </c>
      <c r="AB68" s="393">
        <f t="shared" si="55"/>
      </c>
      <c r="AC68" s="393">
        <f t="shared" si="56"/>
      </c>
      <c r="AD68" s="220">
        <f t="shared" si="57"/>
      </c>
      <c r="AE68" s="220">
        <f t="shared" si="58"/>
      </c>
      <c r="AF68" s="231">
        <f t="shared" si="59"/>
      </c>
      <c r="AG68" s="310">
        <f t="shared" si="60"/>
      </c>
      <c r="AH68" s="228">
        <f t="shared" si="61"/>
      </c>
      <c r="AI68" s="321">
        <f t="shared" si="62"/>
      </c>
      <c r="AJ68" s="321">
        <f t="shared" si="63"/>
      </c>
      <c r="AK68" s="321">
        <f t="shared" si="64"/>
      </c>
      <c r="AL68" s="321">
        <f t="shared" si="65"/>
      </c>
      <c r="AM68" s="282">
        <f t="shared" si="66"/>
      </c>
      <c r="AN68" s="103"/>
      <c r="AO68" s="119">
        <f t="shared" si="146"/>
        <v>0</v>
      </c>
      <c r="AP68" s="119">
        <f t="shared" si="67"/>
        <v>1</v>
      </c>
      <c r="AQ68" s="119">
        <f t="shared" si="68"/>
        <v>1</v>
      </c>
      <c r="AR68" s="119">
        <f>IF(OR(AO68+AP68+AQ68+GG68&gt;0,SUM($AO$30:AQ67)+GG67&gt;0),1,0)</f>
        <v>1</v>
      </c>
      <c r="AS68" s="119">
        <f t="shared" si="147"/>
      </c>
      <c r="AT68" s="119" t="str">
        <f t="shared" si="69"/>
        <v>符合「年齡滿65歲、年資滿15年」之屆齡退休擇領月退休金條件</v>
      </c>
      <c r="AU68" s="119">
        <f t="shared" si="70"/>
      </c>
      <c r="AV68" s="380" t="str">
        <f t="shared" si="71"/>
        <v>符合「年齡滿65歲、年資滿15年」之屆齡退休擇領月退休金條件</v>
      </c>
      <c r="AW68" s="120">
        <f t="shared" si="148"/>
        <v>0</v>
      </c>
      <c r="AX68" s="120">
        <f t="shared" si="149"/>
        <v>1</v>
      </c>
      <c r="AY68" s="120" t="str">
        <f t="shared" si="72"/>
        <v>符合</v>
      </c>
      <c r="AZ68" s="120">
        <f t="shared" si="150"/>
        <v>81</v>
      </c>
      <c r="BA68" s="120">
        <f t="shared" si="151"/>
        <v>20541231</v>
      </c>
      <c r="BB68" s="120" t="str">
        <f t="shared" si="152"/>
        <v>143.1.1~143.12.31</v>
      </c>
      <c r="BC68" s="121">
        <f t="shared" si="73"/>
      </c>
      <c r="BD68" s="122">
        <f t="shared" si="74"/>
      </c>
      <c r="BE68" s="122"/>
      <c r="BF68" s="120"/>
      <c r="BG68" s="123">
        <f t="shared" si="75"/>
      </c>
      <c r="BH68" s="31">
        <f t="shared" si="76"/>
        <v>1</v>
      </c>
      <c r="BI68" s="7">
        <f t="shared" si="77"/>
        <v>1</v>
      </c>
      <c r="BJ68" s="7">
        <f t="shared" si="78"/>
        <v>0</v>
      </c>
      <c r="BK68" s="124">
        <f t="shared" si="153"/>
        <v>0</v>
      </c>
      <c r="BL68" s="124">
        <f t="shared" si="79"/>
      </c>
      <c r="BM68" s="124">
        <f t="shared" si="80"/>
        <v>0</v>
      </c>
      <c r="BN68" s="124">
        <f t="shared" si="81"/>
      </c>
      <c r="BO68" s="124">
        <f t="shared" si="82"/>
        <v>0</v>
      </c>
      <c r="BP68" s="124">
        <f t="shared" si="12"/>
      </c>
      <c r="BQ68" s="33"/>
      <c r="BR68" s="33"/>
      <c r="BS68" s="33"/>
      <c r="BT68" s="33"/>
      <c r="BU68" s="30"/>
      <c r="BV68" s="30"/>
      <c r="BW68" s="30"/>
      <c r="BX68" s="30"/>
      <c r="BY68" s="30"/>
      <c r="BZ68" s="30"/>
      <c r="CA68" s="30"/>
      <c r="CB68" s="125"/>
      <c r="CC68" s="126"/>
      <c r="CD68" s="126"/>
      <c r="CE68" s="127"/>
      <c r="CF68" s="127"/>
      <c r="CG68" s="127"/>
      <c r="CH68" s="128"/>
      <c r="CI68" s="128"/>
      <c r="CJ68" s="128"/>
      <c r="CK68" s="183">
        <f t="shared" si="154"/>
        <v>13</v>
      </c>
      <c r="CL68" s="7">
        <f t="shared" si="155"/>
        <v>12</v>
      </c>
      <c r="CM68" s="20">
        <f t="shared" si="156"/>
        <v>143</v>
      </c>
      <c r="CN68" s="382">
        <f t="shared" si="83"/>
        <v>56600</v>
      </c>
      <c r="CO68" s="185">
        <f t="shared" si="84"/>
        <v>12</v>
      </c>
      <c r="CP68" s="2">
        <f t="shared" si="138"/>
        <v>17</v>
      </c>
      <c r="CQ68" s="382">
        <f t="shared" si="85"/>
        <v>56596</v>
      </c>
      <c r="CR68" s="185">
        <f t="shared" si="135"/>
        <v>12</v>
      </c>
      <c r="CS68" s="2">
        <f t="shared" si="136"/>
        <v>13</v>
      </c>
      <c r="CT68" s="2" t="str">
        <f t="shared" si="139"/>
        <v>初任</v>
      </c>
      <c r="CU68" s="382">
        <f t="shared" si="87"/>
        <v>56596</v>
      </c>
      <c r="CV68" s="2">
        <f t="shared" si="140"/>
        <v>12</v>
      </c>
      <c r="CW68" s="2" t="str">
        <f t="shared" si="141"/>
        <v>生日</v>
      </c>
      <c r="CX68" s="382">
        <f t="shared" si="90"/>
        <v>56600</v>
      </c>
      <c r="CY68" s="2">
        <f t="shared" si="142"/>
        <v>12</v>
      </c>
      <c r="CZ68" s="2">
        <f t="shared" si="157"/>
        <v>0</v>
      </c>
      <c r="DA68" s="2">
        <f t="shared" si="92"/>
      </c>
      <c r="DB68" s="2">
        <f t="shared" si="158"/>
      </c>
      <c r="DC68" s="2">
        <f t="shared" si="93"/>
      </c>
      <c r="DD68" s="2">
        <f t="shared" si="94"/>
      </c>
      <c r="DE68" s="2">
        <f t="shared" si="95"/>
      </c>
      <c r="DF68" s="2">
        <f t="shared" si="24"/>
      </c>
      <c r="DG68" s="129">
        <f t="shared" si="25"/>
      </c>
      <c r="DH68" s="2">
        <f t="shared" si="159"/>
      </c>
      <c r="DI68" s="2">
        <f t="shared" si="96"/>
      </c>
      <c r="DJ68" s="129">
        <f t="shared" si="97"/>
      </c>
      <c r="DK68" s="2">
        <f t="shared" si="160"/>
      </c>
      <c r="DL68" s="2">
        <f t="shared" si="98"/>
      </c>
      <c r="DM68" s="129">
        <f t="shared" si="99"/>
      </c>
      <c r="DN68" s="2">
        <f t="shared" si="161"/>
      </c>
      <c r="DO68" s="2">
        <f t="shared" si="162"/>
      </c>
      <c r="DP68" s="129">
        <f t="shared" si="100"/>
      </c>
      <c r="DQ68" s="2">
        <f t="shared" si="163"/>
      </c>
      <c r="DR68" s="2">
        <f t="shared" si="164"/>
      </c>
      <c r="DS68" s="129">
        <f t="shared" si="101"/>
      </c>
      <c r="DT68" s="2">
        <f t="shared" si="165"/>
      </c>
      <c r="DU68" s="2">
        <f t="shared" si="166"/>
      </c>
      <c r="DV68" s="129">
        <f t="shared" si="102"/>
      </c>
      <c r="DW68" s="2">
        <f t="shared" si="103"/>
      </c>
      <c r="DX68" s="2">
        <f t="shared" si="104"/>
      </c>
      <c r="DY68" s="129">
        <f t="shared" si="105"/>
      </c>
      <c r="DZ68" s="129"/>
      <c r="EA68" s="21">
        <f t="shared" si="106"/>
      </c>
      <c r="EB68" s="382">
        <f t="shared" si="107"/>
        <v>401769</v>
      </c>
      <c r="EC68" s="382">
        <f t="shared" si="108"/>
        <v>401769</v>
      </c>
      <c r="ED68" s="2">
        <f t="shared" si="109"/>
      </c>
      <c r="EE68" s="382">
        <f t="shared" si="110"/>
        <v>401769</v>
      </c>
      <c r="EF68" s="382">
        <f t="shared" si="111"/>
        <v>401769</v>
      </c>
      <c r="EG68" s="382">
        <f t="shared" si="112"/>
        <v>401769</v>
      </c>
      <c r="EH68" s="382"/>
      <c r="EI68" s="382">
        <f t="shared" si="113"/>
        <v>401769</v>
      </c>
      <c r="EJ68" s="208">
        <f t="shared" si="34"/>
        <v>401769</v>
      </c>
      <c r="EK68" s="2">
        <f t="shared" si="114"/>
      </c>
      <c r="EL68" s="2">
        <f t="shared" si="167"/>
      </c>
      <c r="EM68" s="34"/>
      <c r="EN68" s="7">
        <f t="shared" si="168"/>
        <v>1</v>
      </c>
      <c r="EO68" s="124">
        <f t="shared" si="169"/>
        <v>0</v>
      </c>
      <c r="EP68" s="214" t="str">
        <f t="shared" si="170"/>
        <v>●</v>
      </c>
      <c r="EQ68" s="213" t="str">
        <f t="shared" si="171"/>
        <v>●</v>
      </c>
      <c r="ER68" s="213" t="e">
        <f t="shared" si="172"/>
        <v>#VALUE!</v>
      </c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2">
        <f t="shared" si="41"/>
        <v>65</v>
      </c>
      <c r="FD68" s="20"/>
      <c r="FE68" s="20">
        <f t="shared" si="115"/>
        <v>143</v>
      </c>
      <c r="FF68" s="2">
        <f t="shared" si="116"/>
        <v>1</v>
      </c>
      <c r="FG68" s="2">
        <f t="shared" si="117"/>
        <v>1</v>
      </c>
      <c r="FH68" s="2">
        <f t="shared" si="118"/>
        <v>1</v>
      </c>
      <c r="FI68" s="2">
        <f t="shared" si="119"/>
        <v>1</v>
      </c>
      <c r="FJ68" s="20"/>
      <c r="FK68" s="326">
        <f t="shared" si="120"/>
        <v>0</v>
      </c>
      <c r="FL68" s="326">
        <f t="shared" si="121"/>
        <v>0</v>
      </c>
      <c r="FM68" s="326">
        <f t="shared" si="122"/>
        <v>0</v>
      </c>
      <c r="FN68" s="326">
        <f t="shared" si="123"/>
        <v>0</v>
      </c>
      <c r="FP68" s="326">
        <f t="shared" si="124"/>
      </c>
      <c r="FQ68" s="326">
        <f t="shared" si="125"/>
      </c>
      <c r="FR68" s="326">
        <f t="shared" si="126"/>
      </c>
      <c r="FS68" s="326">
        <f t="shared" si="127"/>
      </c>
      <c r="GF68" s="2">
        <v>65</v>
      </c>
      <c r="GG68" s="2">
        <f t="shared" si="128"/>
        <v>1</v>
      </c>
      <c r="GH68" s="2">
        <f t="shared" si="129"/>
      </c>
      <c r="GI68" s="20">
        <f t="shared" si="130"/>
      </c>
      <c r="GJ68" s="20">
        <f t="shared" si="42"/>
      </c>
      <c r="GK68" s="20">
        <f t="shared" si="131"/>
      </c>
    </row>
    <row r="69" spans="1:193" s="29" customFormat="1" ht="15" customHeight="1">
      <c r="A69" s="144"/>
      <c r="B69" s="150">
        <f t="shared" si="132"/>
        <v>144</v>
      </c>
      <c r="C69" s="26">
        <f t="shared" si="43"/>
        <v>20551231</v>
      </c>
      <c r="D69" s="26" t="str">
        <f t="shared" si="44"/>
        <v>2055</v>
      </c>
      <c r="E69" s="26" t="str">
        <f t="shared" si="45"/>
        <v>12</v>
      </c>
      <c r="F69" s="26" t="str">
        <f t="shared" si="46"/>
        <v>31</v>
      </c>
      <c r="G69" s="26" t="str">
        <f t="shared" si="47"/>
        <v>2055/12/31</v>
      </c>
      <c r="H69" s="117">
        <f t="shared" si="0"/>
        <v>62</v>
      </c>
      <c r="I69" s="117">
        <f t="shared" si="48"/>
        <v>0</v>
      </c>
      <c r="J69" s="26">
        <f t="shared" si="173"/>
        <v>18</v>
      </c>
      <c r="K69" s="118">
        <f t="shared" si="143"/>
        <v>62</v>
      </c>
      <c r="L69" s="118">
        <f t="shared" si="144"/>
        <v>0</v>
      </c>
      <c r="M69" s="118">
        <f t="shared" si="145"/>
        <v>18</v>
      </c>
      <c r="N69" s="606" t="str">
        <f t="shared" si="133"/>
        <v>144.1.1~144.12.31</v>
      </c>
      <c r="O69" s="607"/>
      <c r="P69" s="607"/>
      <c r="Q69" s="608"/>
      <c r="R69" s="300" t="str">
        <f t="shared" si="134"/>
        <v>65</v>
      </c>
      <c r="S69" s="338">
        <f t="shared" si="49"/>
        <v>82</v>
      </c>
      <c r="T69" s="339">
        <f t="shared" si="50"/>
        <v>62</v>
      </c>
      <c r="U69" s="204">
        <f t="shared" si="51"/>
        <v>144</v>
      </c>
      <c r="V69" s="341">
        <v>65</v>
      </c>
      <c r="W69" s="429">
        <f t="shared" si="52"/>
      </c>
      <c r="X69" s="430"/>
      <c r="Y69" s="431"/>
      <c r="Z69" s="230">
        <f t="shared" si="53"/>
      </c>
      <c r="AA69" s="220">
        <f t="shared" si="54"/>
      </c>
      <c r="AB69" s="393">
        <f t="shared" si="55"/>
      </c>
      <c r="AC69" s="393">
        <f t="shared" si="56"/>
      </c>
      <c r="AD69" s="220">
        <f t="shared" si="57"/>
      </c>
      <c r="AE69" s="220">
        <f t="shared" si="58"/>
      </c>
      <c r="AF69" s="231">
        <f t="shared" si="59"/>
      </c>
      <c r="AG69" s="310">
        <f t="shared" si="60"/>
      </c>
      <c r="AH69" s="228">
        <f t="shared" si="61"/>
      </c>
      <c r="AI69" s="321">
        <f t="shared" si="62"/>
      </c>
      <c r="AJ69" s="321">
        <f t="shared" si="63"/>
      </c>
      <c r="AK69" s="321">
        <f t="shared" si="64"/>
      </c>
      <c r="AL69" s="321">
        <f t="shared" si="65"/>
      </c>
      <c r="AM69" s="282">
        <f t="shared" si="66"/>
      </c>
      <c r="AN69" s="103"/>
      <c r="AO69" s="119">
        <f t="shared" si="146"/>
        <v>0</v>
      </c>
      <c r="AP69" s="119">
        <f t="shared" si="67"/>
        <v>1</v>
      </c>
      <c r="AQ69" s="119">
        <f t="shared" si="68"/>
        <v>1</v>
      </c>
      <c r="AR69" s="119">
        <f>IF(OR(AO69+AP69+AQ69+GG69&gt;0,SUM($AO$30:AQ68)+GG68&gt;0),1,0)</f>
        <v>1</v>
      </c>
      <c r="AS69" s="119">
        <f t="shared" si="147"/>
      </c>
      <c r="AT69" s="119" t="str">
        <f t="shared" si="69"/>
        <v>符合「年齡滿65歲、年資滿15年」之屆齡退休擇領月退休金條件</v>
      </c>
      <c r="AU69" s="119">
        <f t="shared" si="70"/>
      </c>
      <c r="AV69" s="380" t="str">
        <f t="shared" si="71"/>
        <v>符合「年齡滿65歲、年資滿15年」之屆齡退休擇領月退休金條件</v>
      </c>
      <c r="AW69" s="120">
        <f t="shared" si="148"/>
        <v>0</v>
      </c>
      <c r="AX69" s="120">
        <f t="shared" si="149"/>
        <v>1</v>
      </c>
      <c r="AY69" s="120" t="str">
        <f aca="true" t="shared" si="174" ref="AY69:AY113">LEFT(AV69,2)</f>
        <v>符合</v>
      </c>
      <c r="AZ69" s="120">
        <f t="shared" si="150"/>
        <v>82</v>
      </c>
      <c r="BA69" s="120">
        <f t="shared" si="151"/>
        <v>20551231</v>
      </c>
      <c r="BB69" s="120" t="str">
        <f t="shared" si="152"/>
        <v>144.1.1~144.12.31</v>
      </c>
      <c r="BC69" s="121">
        <f t="shared" si="73"/>
      </c>
      <c r="BD69" s="122">
        <f t="shared" si="74"/>
      </c>
      <c r="BE69" s="122"/>
      <c r="BF69" s="120"/>
      <c r="BG69" s="123">
        <f t="shared" si="75"/>
      </c>
      <c r="BH69" s="31">
        <f t="shared" si="76"/>
        <v>1</v>
      </c>
      <c r="BI69" s="7">
        <f t="shared" si="77"/>
        <v>1</v>
      </c>
      <c r="BJ69" s="7">
        <f t="shared" si="78"/>
        <v>0</v>
      </c>
      <c r="BK69" s="124">
        <f t="shared" si="153"/>
        <v>0</v>
      </c>
      <c r="BL69" s="124">
        <f t="shared" si="79"/>
      </c>
      <c r="BM69" s="124">
        <f t="shared" si="80"/>
        <v>0</v>
      </c>
      <c r="BN69" s="124">
        <f t="shared" si="81"/>
      </c>
      <c r="BO69" s="124">
        <f t="shared" si="82"/>
        <v>0</v>
      </c>
      <c r="BP69" s="124">
        <f t="shared" si="12"/>
      </c>
      <c r="BQ69" s="33"/>
      <c r="BR69" s="33"/>
      <c r="BS69" s="33"/>
      <c r="BT69" s="33"/>
      <c r="BU69" s="30"/>
      <c r="BV69" s="30"/>
      <c r="BW69" s="30"/>
      <c r="BX69" s="30"/>
      <c r="BY69" s="30"/>
      <c r="BZ69" s="30"/>
      <c r="CA69" s="30"/>
      <c r="CB69" s="125"/>
      <c r="CC69" s="126"/>
      <c r="CD69" s="126"/>
      <c r="CE69" s="127"/>
      <c r="CF69" s="127"/>
      <c r="CG69" s="127"/>
      <c r="CH69" s="128"/>
      <c r="CI69" s="128"/>
      <c r="CJ69" s="128"/>
      <c r="CK69" s="183">
        <f t="shared" si="154"/>
        <v>13</v>
      </c>
      <c r="CL69" s="7">
        <f t="shared" si="155"/>
        <v>12</v>
      </c>
      <c r="CM69" s="20">
        <f t="shared" si="156"/>
        <v>144</v>
      </c>
      <c r="CN69" s="382">
        <f t="shared" si="83"/>
        <v>56965</v>
      </c>
      <c r="CO69" s="185">
        <f t="shared" si="84"/>
        <v>12</v>
      </c>
      <c r="CP69" s="2">
        <f t="shared" si="138"/>
        <v>17</v>
      </c>
      <c r="CQ69" s="382">
        <f t="shared" si="85"/>
        <v>56961</v>
      </c>
      <c r="CR69" s="185">
        <f t="shared" si="135"/>
        <v>12</v>
      </c>
      <c r="CS69" s="2">
        <f t="shared" si="136"/>
        <v>13</v>
      </c>
      <c r="CT69" s="2" t="str">
        <f t="shared" si="139"/>
        <v>初任</v>
      </c>
      <c r="CU69" s="382">
        <f t="shared" si="87"/>
        <v>56961</v>
      </c>
      <c r="CV69" s="2">
        <f t="shared" si="140"/>
        <v>12</v>
      </c>
      <c r="CW69" s="2" t="str">
        <f t="shared" si="141"/>
        <v>生日</v>
      </c>
      <c r="CX69" s="382">
        <f t="shared" si="90"/>
        <v>56965</v>
      </c>
      <c r="CY69" s="2">
        <f t="shared" si="142"/>
        <v>12</v>
      </c>
      <c r="CZ69" s="2">
        <f t="shared" si="157"/>
        <v>0</v>
      </c>
      <c r="DA69" s="2">
        <f t="shared" si="92"/>
      </c>
      <c r="DB69" s="2">
        <f t="shared" si="158"/>
      </c>
      <c r="DC69" s="2">
        <f t="shared" si="93"/>
      </c>
      <c r="DD69" s="2">
        <f t="shared" si="94"/>
      </c>
      <c r="DE69" s="2">
        <f t="shared" si="95"/>
      </c>
      <c r="DF69" s="2">
        <f t="shared" si="24"/>
      </c>
      <c r="DG69" s="129">
        <f t="shared" si="25"/>
      </c>
      <c r="DH69" s="2">
        <f t="shared" si="159"/>
      </c>
      <c r="DI69" s="2">
        <f t="shared" si="96"/>
      </c>
      <c r="DJ69" s="129">
        <f t="shared" si="97"/>
      </c>
      <c r="DK69" s="2">
        <f t="shared" si="160"/>
      </c>
      <c r="DL69" s="2">
        <f t="shared" si="98"/>
      </c>
      <c r="DM69" s="129">
        <f t="shared" si="99"/>
      </c>
      <c r="DN69" s="2">
        <f t="shared" si="161"/>
      </c>
      <c r="DO69" s="2">
        <f t="shared" si="162"/>
      </c>
      <c r="DP69" s="129">
        <f t="shared" si="100"/>
      </c>
      <c r="DQ69" s="2">
        <f t="shared" si="163"/>
      </c>
      <c r="DR69" s="2">
        <f t="shared" si="164"/>
      </c>
      <c r="DS69" s="129">
        <f t="shared" si="101"/>
      </c>
      <c r="DT69" s="2">
        <f t="shared" si="165"/>
      </c>
      <c r="DU69" s="2">
        <f t="shared" si="166"/>
      </c>
      <c r="DV69" s="129">
        <f t="shared" si="102"/>
      </c>
      <c r="DW69" s="2">
        <f t="shared" si="103"/>
      </c>
      <c r="DX69" s="2">
        <f t="shared" si="104"/>
      </c>
      <c r="DY69" s="129">
        <f t="shared" si="105"/>
      </c>
      <c r="DZ69" s="129"/>
      <c r="EA69" s="21">
        <f t="shared" si="106"/>
      </c>
      <c r="EB69" s="382">
        <f t="shared" si="107"/>
        <v>401769</v>
      </c>
      <c r="EC69" s="382">
        <f t="shared" si="108"/>
        <v>401769</v>
      </c>
      <c r="ED69" s="2">
        <f t="shared" si="109"/>
      </c>
      <c r="EE69" s="382">
        <f t="shared" si="110"/>
        <v>401769</v>
      </c>
      <c r="EF69" s="382">
        <f t="shared" si="111"/>
        <v>401769</v>
      </c>
      <c r="EG69" s="382">
        <f t="shared" si="112"/>
        <v>401769</v>
      </c>
      <c r="EH69" s="382"/>
      <c r="EI69" s="382">
        <f t="shared" si="113"/>
        <v>401769</v>
      </c>
      <c r="EJ69" s="208">
        <f t="shared" si="34"/>
        <v>401769</v>
      </c>
      <c r="EK69" s="2">
        <f t="shared" si="114"/>
      </c>
      <c r="EL69" s="2">
        <f t="shared" si="167"/>
      </c>
      <c r="EM69" s="34"/>
      <c r="EN69" s="7">
        <f t="shared" si="168"/>
        <v>1</v>
      </c>
      <c r="EO69" s="124">
        <f t="shared" si="169"/>
        <v>0</v>
      </c>
      <c r="EP69" s="214" t="str">
        <f t="shared" si="170"/>
        <v>●</v>
      </c>
      <c r="EQ69" s="213" t="str">
        <f t="shared" si="171"/>
        <v>●</v>
      </c>
      <c r="ER69" s="213" t="e">
        <f t="shared" si="172"/>
        <v>#VALUE!</v>
      </c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2">
        <f t="shared" si="41"/>
        <v>65</v>
      </c>
      <c r="FD69" s="20"/>
      <c r="FE69" s="20">
        <f t="shared" si="115"/>
        <v>144</v>
      </c>
      <c r="FF69" s="2">
        <f t="shared" si="116"/>
        <v>1</v>
      </c>
      <c r="FG69" s="2">
        <f t="shared" si="117"/>
        <v>1</v>
      </c>
      <c r="FH69" s="2">
        <f t="shared" si="118"/>
        <v>1</v>
      </c>
      <c r="FI69" s="2">
        <f t="shared" si="119"/>
        <v>1</v>
      </c>
      <c r="FJ69" s="20"/>
      <c r="FK69" s="326">
        <f t="shared" si="120"/>
        <v>0</v>
      </c>
      <c r="FL69" s="326">
        <f t="shared" si="121"/>
        <v>0</v>
      </c>
      <c r="FM69" s="326">
        <f t="shared" si="122"/>
        <v>0</v>
      </c>
      <c r="FN69" s="326">
        <f t="shared" si="123"/>
        <v>0</v>
      </c>
      <c r="FP69" s="326">
        <f t="shared" si="124"/>
      </c>
      <c r="FQ69" s="326">
        <f t="shared" si="125"/>
      </c>
      <c r="FR69" s="326">
        <f t="shared" si="126"/>
      </c>
      <c r="FS69" s="326">
        <f t="shared" si="127"/>
      </c>
      <c r="GF69" s="2">
        <v>65</v>
      </c>
      <c r="GG69" s="2">
        <f t="shared" si="128"/>
        <v>1</v>
      </c>
      <c r="GH69" s="2">
        <f t="shared" si="129"/>
      </c>
      <c r="GI69" s="20">
        <f t="shared" si="130"/>
      </c>
      <c r="GJ69" s="20">
        <f t="shared" si="42"/>
      </c>
      <c r="GK69" s="20">
        <f t="shared" si="131"/>
      </c>
    </row>
    <row r="70" spans="1:193" s="29" customFormat="1" ht="15" customHeight="1" thickBot="1">
      <c r="A70" s="144"/>
      <c r="B70" s="150">
        <f t="shared" si="132"/>
        <v>145</v>
      </c>
      <c r="C70" s="26">
        <f t="shared" si="43"/>
        <v>20561231</v>
      </c>
      <c r="D70" s="26" t="str">
        <f t="shared" si="44"/>
        <v>2056</v>
      </c>
      <c r="E70" s="26" t="str">
        <f t="shared" si="45"/>
        <v>12</v>
      </c>
      <c r="F70" s="26" t="str">
        <f t="shared" si="46"/>
        <v>31</v>
      </c>
      <c r="G70" s="26" t="str">
        <f t="shared" si="47"/>
        <v>2056/12/31</v>
      </c>
      <c r="H70" s="117">
        <f t="shared" si="0"/>
        <v>63</v>
      </c>
      <c r="I70" s="117">
        <f t="shared" si="48"/>
        <v>0</v>
      </c>
      <c r="J70" s="26">
        <f t="shared" si="173"/>
        <v>18</v>
      </c>
      <c r="K70" s="118">
        <f t="shared" si="143"/>
        <v>63</v>
      </c>
      <c r="L70" s="118">
        <f t="shared" si="144"/>
        <v>0</v>
      </c>
      <c r="M70" s="118">
        <f t="shared" si="145"/>
        <v>18</v>
      </c>
      <c r="N70" s="606" t="str">
        <f t="shared" si="133"/>
        <v>145.1.1~145.12.31</v>
      </c>
      <c r="O70" s="607"/>
      <c r="P70" s="607"/>
      <c r="Q70" s="608"/>
      <c r="R70" s="300" t="str">
        <f t="shared" si="134"/>
        <v>65</v>
      </c>
      <c r="S70" s="338">
        <f t="shared" si="49"/>
        <v>83</v>
      </c>
      <c r="T70" s="339">
        <f t="shared" si="50"/>
        <v>63</v>
      </c>
      <c r="U70" s="204">
        <f t="shared" si="51"/>
        <v>146</v>
      </c>
      <c r="V70" s="341">
        <v>65</v>
      </c>
      <c r="W70" s="429">
        <f t="shared" si="52"/>
      </c>
      <c r="X70" s="430"/>
      <c r="Y70" s="431"/>
      <c r="Z70" s="276">
        <f t="shared" si="53"/>
      </c>
      <c r="AA70" s="394">
        <f t="shared" si="54"/>
      </c>
      <c r="AB70" s="395">
        <f t="shared" si="55"/>
      </c>
      <c r="AC70" s="395">
        <f t="shared" si="56"/>
      </c>
      <c r="AD70" s="394">
        <f t="shared" si="57"/>
      </c>
      <c r="AE70" s="394">
        <f t="shared" si="58"/>
      </c>
      <c r="AF70" s="277">
        <f t="shared" si="59"/>
      </c>
      <c r="AG70" s="316">
        <f t="shared" si="60"/>
      </c>
      <c r="AH70" s="278">
        <f t="shared" si="61"/>
      </c>
      <c r="AI70" s="324">
        <f t="shared" si="62"/>
      </c>
      <c r="AJ70" s="324">
        <f t="shared" si="63"/>
      </c>
      <c r="AK70" s="324">
        <f t="shared" si="64"/>
      </c>
      <c r="AL70" s="324">
        <f t="shared" si="65"/>
      </c>
      <c r="AM70" s="283">
        <f t="shared" si="66"/>
      </c>
      <c r="AN70" s="103"/>
      <c r="AO70" s="119">
        <f t="shared" si="146"/>
        <v>0</v>
      </c>
      <c r="AP70" s="119">
        <f t="shared" si="67"/>
        <v>1</v>
      </c>
      <c r="AQ70" s="119">
        <f t="shared" si="68"/>
        <v>1</v>
      </c>
      <c r="AR70" s="119">
        <f>IF(OR(AO70+AP70+AQ70+GG70&gt;0,SUM($AO$30:AQ69)+GG69&gt;0),1,0)</f>
        <v>1</v>
      </c>
      <c r="AS70" s="119">
        <f t="shared" si="147"/>
      </c>
      <c r="AT70" s="119" t="str">
        <f t="shared" si="69"/>
        <v>符合「年齡滿65歲、年資滿15年」之屆齡退休擇領月退休金條件</v>
      </c>
      <c r="AU70" s="119">
        <f t="shared" si="70"/>
      </c>
      <c r="AV70" s="380" t="str">
        <f t="shared" si="71"/>
        <v>符合「年齡滿65歲、年資滿15年」之屆齡退休擇領月退休金條件</v>
      </c>
      <c r="AW70" s="120">
        <f t="shared" si="148"/>
        <v>0</v>
      </c>
      <c r="AX70" s="120">
        <f t="shared" si="149"/>
        <v>1</v>
      </c>
      <c r="AY70" s="120" t="str">
        <f t="shared" si="174"/>
        <v>符合</v>
      </c>
      <c r="AZ70" s="120">
        <f t="shared" si="150"/>
        <v>83</v>
      </c>
      <c r="BA70" s="120">
        <f t="shared" si="151"/>
        <v>20561231</v>
      </c>
      <c r="BB70" s="120" t="str">
        <f t="shared" si="152"/>
        <v>145.1.1~145.12.31</v>
      </c>
      <c r="BC70" s="121">
        <f t="shared" si="73"/>
      </c>
      <c r="BD70" s="122">
        <f t="shared" si="74"/>
      </c>
      <c r="BE70" s="122"/>
      <c r="BF70" s="120"/>
      <c r="BG70" s="123">
        <f t="shared" si="75"/>
      </c>
      <c r="BH70" s="31">
        <f t="shared" si="76"/>
        <v>1</v>
      </c>
      <c r="BI70" s="7">
        <f t="shared" si="77"/>
        <v>1</v>
      </c>
      <c r="BJ70" s="7">
        <f t="shared" si="78"/>
        <v>0</v>
      </c>
      <c r="BK70" s="124">
        <f t="shared" si="153"/>
        <v>0</v>
      </c>
      <c r="BL70" s="124">
        <f t="shared" si="79"/>
      </c>
      <c r="BM70" s="124">
        <f t="shared" si="80"/>
        <v>0</v>
      </c>
      <c r="BN70" s="124">
        <f t="shared" si="81"/>
      </c>
      <c r="BO70" s="124">
        <f t="shared" si="82"/>
        <v>0</v>
      </c>
      <c r="BP70" s="124">
        <f t="shared" si="12"/>
      </c>
      <c r="BQ70" s="33"/>
      <c r="BR70" s="33"/>
      <c r="BS70" s="33"/>
      <c r="BT70" s="33"/>
      <c r="BU70" s="30"/>
      <c r="BV70" s="30"/>
      <c r="BW70" s="30"/>
      <c r="BX70" s="30"/>
      <c r="BY70" s="30"/>
      <c r="BZ70" s="30"/>
      <c r="CA70" s="30"/>
      <c r="CB70" s="125"/>
      <c r="CC70" s="126"/>
      <c r="CD70" s="126"/>
      <c r="CE70" s="127"/>
      <c r="CF70" s="127"/>
      <c r="CG70" s="127"/>
      <c r="CH70" s="128"/>
      <c r="CI70" s="128"/>
      <c r="CJ70" s="128"/>
      <c r="CK70" s="183">
        <f t="shared" si="154"/>
        <v>13</v>
      </c>
      <c r="CL70" s="7">
        <f t="shared" si="155"/>
        <v>12</v>
      </c>
      <c r="CM70" s="20">
        <f t="shared" si="156"/>
        <v>145</v>
      </c>
      <c r="CN70" s="382">
        <f t="shared" si="83"/>
        <v>57331</v>
      </c>
      <c r="CO70" s="185">
        <f t="shared" si="84"/>
        <v>12</v>
      </c>
      <c r="CP70" s="2">
        <f t="shared" si="138"/>
        <v>17</v>
      </c>
      <c r="CQ70" s="382">
        <f t="shared" si="85"/>
        <v>57327</v>
      </c>
      <c r="CR70" s="185">
        <f t="shared" si="135"/>
        <v>12</v>
      </c>
      <c r="CS70" s="2">
        <f t="shared" si="136"/>
        <v>13</v>
      </c>
      <c r="CT70" s="2" t="str">
        <f t="shared" si="139"/>
        <v>初任</v>
      </c>
      <c r="CU70" s="382">
        <f t="shared" si="87"/>
        <v>57327</v>
      </c>
      <c r="CV70" s="2">
        <f t="shared" si="140"/>
        <v>12</v>
      </c>
      <c r="CW70" s="2" t="str">
        <f t="shared" si="141"/>
        <v>生日</v>
      </c>
      <c r="CX70" s="382">
        <f t="shared" si="90"/>
        <v>57331</v>
      </c>
      <c r="CY70" s="2">
        <f t="shared" si="142"/>
        <v>12</v>
      </c>
      <c r="CZ70" s="2">
        <f t="shared" si="157"/>
        <v>0</v>
      </c>
      <c r="DA70" s="2">
        <f t="shared" si="92"/>
      </c>
      <c r="DB70" s="2">
        <f t="shared" si="158"/>
      </c>
      <c r="DC70" s="2">
        <f t="shared" si="93"/>
      </c>
      <c r="DD70" s="2">
        <f t="shared" si="94"/>
      </c>
      <c r="DE70" s="2">
        <f t="shared" si="95"/>
      </c>
      <c r="DF70" s="2">
        <f t="shared" si="24"/>
      </c>
      <c r="DG70" s="129">
        <f t="shared" si="25"/>
      </c>
      <c r="DH70" s="2">
        <f t="shared" si="159"/>
      </c>
      <c r="DI70" s="2">
        <f t="shared" si="96"/>
      </c>
      <c r="DJ70" s="129">
        <f t="shared" si="97"/>
      </c>
      <c r="DK70" s="2">
        <f t="shared" si="160"/>
      </c>
      <c r="DL70" s="2">
        <f t="shared" si="98"/>
      </c>
      <c r="DM70" s="129">
        <f t="shared" si="99"/>
      </c>
      <c r="DN70" s="2">
        <f t="shared" si="161"/>
      </c>
      <c r="DO70" s="2">
        <f t="shared" si="162"/>
      </c>
      <c r="DP70" s="129">
        <f t="shared" si="100"/>
      </c>
      <c r="DQ70" s="2">
        <f t="shared" si="163"/>
      </c>
      <c r="DR70" s="2">
        <f t="shared" si="164"/>
      </c>
      <c r="DS70" s="129">
        <f t="shared" si="101"/>
      </c>
      <c r="DT70" s="2">
        <f t="shared" si="165"/>
      </c>
      <c r="DU70" s="2">
        <f t="shared" si="166"/>
      </c>
      <c r="DV70" s="129">
        <f t="shared" si="102"/>
      </c>
      <c r="DW70" s="2">
        <f t="shared" si="103"/>
      </c>
      <c r="DX70" s="2">
        <f t="shared" si="104"/>
      </c>
      <c r="DY70" s="129">
        <f t="shared" si="105"/>
      </c>
      <c r="DZ70" s="129"/>
      <c r="EA70" s="21">
        <f t="shared" si="106"/>
      </c>
      <c r="EB70" s="382">
        <f t="shared" si="107"/>
        <v>401769</v>
      </c>
      <c r="EC70" s="382">
        <f t="shared" si="108"/>
        <v>401769</v>
      </c>
      <c r="ED70" s="2">
        <f t="shared" si="109"/>
      </c>
      <c r="EE70" s="382">
        <f t="shared" si="110"/>
        <v>401769</v>
      </c>
      <c r="EF70" s="382">
        <f t="shared" si="111"/>
        <v>401769</v>
      </c>
      <c r="EG70" s="382">
        <f t="shared" si="112"/>
        <v>401769</v>
      </c>
      <c r="EH70" s="382"/>
      <c r="EI70" s="382">
        <f t="shared" si="113"/>
        <v>401769</v>
      </c>
      <c r="EJ70" s="208">
        <f t="shared" si="34"/>
        <v>401769</v>
      </c>
      <c r="EK70" s="2">
        <f t="shared" si="114"/>
      </c>
      <c r="EL70" s="2">
        <f t="shared" si="167"/>
      </c>
      <c r="EM70" s="34"/>
      <c r="EN70" s="7">
        <f t="shared" si="168"/>
        <v>1</v>
      </c>
      <c r="EO70" s="124">
        <f t="shared" si="169"/>
        <v>0</v>
      </c>
      <c r="EP70" s="214" t="str">
        <f t="shared" si="170"/>
        <v>●</v>
      </c>
      <c r="EQ70" s="213" t="str">
        <f t="shared" si="171"/>
        <v>●</v>
      </c>
      <c r="ER70" s="213" t="e">
        <f t="shared" si="172"/>
        <v>#VALUE!</v>
      </c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2">
        <f t="shared" si="41"/>
        <v>65</v>
      </c>
      <c r="FD70" s="20"/>
      <c r="FE70" s="20">
        <f t="shared" si="115"/>
        <v>145</v>
      </c>
      <c r="FF70" s="2">
        <f t="shared" si="116"/>
        <v>1</v>
      </c>
      <c r="FG70" s="2">
        <f t="shared" si="117"/>
        <v>1</v>
      </c>
      <c r="FH70" s="2">
        <f t="shared" si="118"/>
        <v>1</v>
      </c>
      <c r="FI70" s="2">
        <f t="shared" si="119"/>
        <v>1</v>
      </c>
      <c r="FJ70" s="20"/>
      <c r="FK70" s="326">
        <f t="shared" si="120"/>
        <v>0</v>
      </c>
      <c r="FL70" s="326">
        <f t="shared" si="121"/>
        <v>0</v>
      </c>
      <c r="FM70" s="326">
        <f t="shared" si="122"/>
        <v>0</v>
      </c>
      <c r="FN70" s="326">
        <f t="shared" si="123"/>
        <v>0</v>
      </c>
      <c r="FP70" s="326">
        <f t="shared" si="124"/>
      </c>
      <c r="FQ70" s="326">
        <f t="shared" si="125"/>
      </c>
      <c r="FR70" s="326">
        <f t="shared" si="126"/>
      </c>
      <c r="FS70" s="326">
        <f t="shared" si="127"/>
      </c>
      <c r="GF70" s="2">
        <v>65</v>
      </c>
      <c r="GG70" s="2">
        <f t="shared" si="128"/>
        <v>1</v>
      </c>
      <c r="GH70" s="2">
        <f t="shared" si="129"/>
      </c>
      <c r="GI70" s="20">
        <f t="shared" si="130"/>
      </c>
      <c r="GJ70" s="20">
        <f t="shared" si="42"/>
      </c>
      <c r="GK70" s="20">
        <f t="shared" si="131"/>
      </c>
    </row>
    <row r="71" spans="1:193" s="29" customFormat="1" ht="15.75" customHeight="1" hidden="1" thickBot="1" thickTop="1">
      <c r="A71" s="144"/>
      <c r="B71" s="150">
        <f t="shared" si="132"/>
        <v>146</v>
      </c>
      <c r="C71" s="26">
        <f t="shared" si="43"/>
        <v>20571231</v>
      </c>
      <c r="D71" s="26" t="str">
        <f t="shared" si="44"/>
        <v>2057</v>
      </c>
      <c r="E71" s="26" t="str">
        <f t="shared" si="45"/>
        <v>12</v>
      </c>
      <c r="F71" s="26" t="str">
        <f t="shared" si="46"/>
        <v>31</v>
      </c>
      <c r="G71" s="26" t="str">
        <f t="shared" si="47"/>
        <v>2057/12/31</v>
      </c>
      <c r="H71" s="117">
        <f t="shared" si="0"/>
        <v>64</v>
      </c>
      <c r="I71" s="117">
        <f t="shared" si="48"/>
        <v>0</v>
      </c>
      <c r="J71" s="26">
        <f t="shared" si="173"/>
        <v>18</v>
      </c>
      <c r="K71" s="118">
        <f t="shared" si="143"/>
        <v>64</v>
      </c>
      <c r="L71" s="118">
        <f t="shared" si="144"/>
        <v>0</v>
      </c>
      <c r="M71" s="118">
        <f t="shared" si="145"/>
        <v>18</v>
      </c>
      <c r="N71" s="609" t="str">
        <f aca="true" t="shared" si="175" ref="N71:N95">IF($S$5="公務人員",B71&amp;".1.1~"&amp;B71&amp;".12.31",B71&amp;".1.1~"&amp;B71&amp;".12.31")</f>
        <v>146.1.1~146.12.31</v>
      </c>
      <c r="O71" s="610"/>
      <c r="P71" s="610"/>
      <c r="Q71" s="611"/>
      <c r="R71" s="292" t="str">
        <f t="shared" si="134"/>
        <v>65</v>
      </c>
      <c r="S71" s="338">
        <f t="shared" si="49"/>
        <v>84</v>
      </c>
      <c r="T71" s="339">
        <f t="shared" si="50"/>
        <v>64</v>
      </c>
      <c r="U71" s="204">
        <f t="shared" si="51"/>
        <v>148</v>
      </c>
      <c r="V71" s="149"/>
      <c r="W71" s="613">
        <f aca="true" t="shared" si="176" ref="W71:W113">IF($AX$7&gt;=$AX$8,IF(AR71=0,"",IF(OR(AND($S$5="公務人員",R71&lt;90,AR71&gt;AR70),AND($S$5="高中以下教師",R71&lt;85,AR71&gt;AR70)),"★已達法定指標，但可申請退休日期應參閱上方【分析結果】",IF(OR(AND($S$5="公務人員",R71&gt;=90,AR71&gt;AR70),AND($S$5="高中以下教師",R71&gt;=85,AR71&gt;AR70)),"★已符基本條件，但可申請退休日期應參閱上方【分析結果】",""))),BD71)</f>
      </c>
      <c r="X71" s="614"/>
      <c r="Y71" s="614"/>
      <c r="Z71" s="615"/>
      <c r="AA71" s="391">
        <f t="shared" si="54"/>
      </c>
      <c r="AB71" s="392">
        <f t="shared" si="55"/>
      </c>
      <c r="AC71" s="392">
        <f t="shared" si="56"/>
      </c>
      <c r="AD71" s="391">
        <f t="shared" si="57"/>
      </c>
      <c r="AE71" s="391">
        <f t="shared" si="58"/>
      </c>
      <c r="AF71" s="236">
        <f t="shared" si="59"/>
      </c>
      <c r="AG71" s="314">
        <f aca="true" t="shared" si="177" ref="AG71:AG95">IF($S$7="","",IF(BL71="","",IF(BL71="●","★",-1*BL71)))</f>
      </c>
      <c r="AH71" s="229">
        <f aca="true" t="shared" si="178" ref="AH71:AH95">IF($S$7="","",IF(BN71="","",IF(BN71="●","★",IF(V71&lt;&gt;60,"",-1*BN71))))</f>
      </c>
      <c r="AI71" s="325">
        <f aca="true" t="shared" si="179" ref="AI71:AI95">IF($S$7="","",IF(FP71="","",IF(FP71="●","★",IF(V71&lt;&gt;61,"",-1*FP71))))</f>
      </c>
      <c r="AJ71" s="325">
        <f aca="true" t="shared" si="180" ref="AJ71:AJ95">IF($S$7="","",IF(FQ71="","",IF(FQ71="●","★",IF(V71&lt;&gt;62,"",-1*FQ71))))</f>
      </c>
      <c r="AK71" s="325">
        <f aca="true" t="shared" si="181" ref="AK71:AK95">IF($S$7="","",IF(FR71="","",IF(FR71="●","★",IF(V71&lt;&gt;63,"",-1*FR71))))</f>
      </c>
      <c r="AL71" s="325">
        <f aca="true" t="shared" si="182" ref="AL71:AL95">IF($S$7="","",IF(FS71="","",IF(FS71="●","★",IF(V71&lt;&gt;64,"",-1*FS71))))</f>
      </c>
      <c r="AM71" s="205">
        <f aca="true" t="shared" si="183" ref="AM71:AM95">IF($S$7="","",IF(BP71="","",IF(SUM(AG71:AL71)&lt;&gt;0,"",IF(BP71="●","★",IF(V71&gt;65,"",-1*BP71)))))</f>
      </c>
      <c r="AN71" s="103"/>
      <c r="AO71" s="119">
        <f t="shared" si="146"/>
        <v>0</v>
      </c>
      <c r="AP71" s="119">
        <f t="shared" si="67"/>
        <v>1</v>
      </c>
      <c r="AQ71" s="119">
        <f t="shared" si="68"/>
        <v>1</v>
      </c>
      <c r="AR71" s="119">
        <f>IF(OR(AO71+AP71+AQ71+GG71&gt;0,SUM($AO$30:AQ70)+GG70&gt;0),1,0)</f>
        <v>1</v>
      </c>
      <c r="AS71" s="119">
        <f t="shared" si="147"/>
      </c>
      <c r="AT71" s="119" t="str">
        <f t="shared" si="69"/>
        <v>符合「年齡滿65歲、年資滿15年」之屆齡退休擇領月退休金條件</v>
      </c>
      <c r="AU71" s="119">
        <f t="shared" si="70"/>
      </c>
      <c r="AV71" s="380" t="str">
        <f t="shared" si="71"/>
        <v>符合「年齡滿65歲、年資滿15年」之屆齡退休擇領月退休金條件</v>
      </c>
      <c r="AW71" s="120">
        <f t="shared" si="148"/>
        <v>0</v>
      </c>
      <c r="AX71" s="120">
        <f t="shared" si="149"/>
        <v>1</v>
      </c>
      <c r="AY71" s="120" t="str">
        <f t="shared" si="174"/>
        <v>符合</v>
      </c>
      <c r="AZ71" s="120">
        <f t="shared" si="150"/>
        <v>84</v>
      </c>
      <c r="BA71" s="120">
        <f t="shared" si="151"/>
        <v>20571231</v>
      </c>
      <c r="BB71" s="120" t="str">
        <f t="shared" si="152"/>
        <v>146.1.1~146.12.31</v>
      </c>
      <c r="BC71" s="121">
        <f t="shared" si="73"/>
      </c>
      <c r="BD71" s="122">
        <f t="shared" si="74"/>
      </c>
      <c r="BE71" s="122"/>
      <c r="BF71" s="120"/>
      <c r="BG71" s="123">
        <f t="shared" si="75"/>
      </c>
      <c r="BH71" s="31">
        <f t="shared" si="76"/>
        <v>1</v>
      </c>
      <c r="BI71" s="7">
        <f t="shared" si="77"/>
        <v>1</v>
      </c>
      <c r="BJ71" s="7"/>
      <c r="BK71" s="124">
        <f t="shared" si="153"/>
        <v>0</v>
      </c>
      <c r="BL71" s="124">
        <f t="shared" si="79"/>
      </c>
      <c r="BM71" s="124">
        <f t="shared" si="80"/>
        <v>0</v>
      </c>
      <c r="BN71" s="124">
        <f t="shared" si="81"/>
      </c>
      <c r="BO71" s="124">
        <f t="shared" si="82"/>
        <v>0</v>
      </c>
      <c r="BP71" s="124">
        <f t="shared" si="12"/>
      </c>
      <c r="BQ71" s="33"/>
      <c r="BR71" s="33"/>
      <c r="BS71" s="33"/>
      <c r="BT71" s="33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4"/>
      <c r="CH71" s="34"/>
      <c r="CI71" s="34"/>
      <c r="CJ71" s="34"/>
      <c r="CK71" s="183">
        <f t="shared" si="154"/>
        <v>13</v>
      </c>
      <c r="CL71" s="7">
        <f t="shared" si="155"/>
        <v>12</v>
      </c>
      <c r="CM71" s="20">
        <f t="shared" si="156"/>
        <v>146</v>
      </c>
      <c r="CN71" s="382">
        <f t="shared" si="83"/>
        <v>57696</v>
      </c>
      <c r="CO71" s="185">
        <f t="shared" si="84"/>
        <v>12</v>
      </c>
      <c r="CP71" s="2">
        <f t="shared" si="138"/>
        <v>17</v>
      </c>
      <c r="CQ71" s="382">
        <f t="shared" si="85"/>
        <v>57692</v>
      </c>
      <c r="CR71" s="185">
        <f t="shared" si="135"/>
        <v>12</v>
      </c>
      <c r="CS71" s="2">
        <f t="shared" si="136"/>
        <v>13</v>
      </c>
      <c r="CT71" s="2" t="str">
        <f t="shared" si="139"/>
        <v>初任</v>
      </c>
      <c r="CU71" s="382">
        <f t="shared" si="87"/>
        <v>57692</v>
      </c>
      <c r="CV71" s="2">
        <f t="shared" si="140"/>
        <v>12</v>
      </c>
      <c r="CW71" s="2" t="str">
        <f t="shared" si="141"/>
        <v>生日</v>
      </c>
      <c r="CX71" s="382">
        <f t="shared" si="90"/>
        <v>57696</v>
      </c>
      <c r="CY71" s="2">
        <f t="shared" si="142"/>
        <v>12</v>
      </c>
      <c r="CZ71" s="2">
        <f t="shared" si="157"/>
        <v>0</v>
      </c>
      <c r="DA71" s="2">
        <f t="shared" si="92"/>
      </c>
      <c r="DB71" s="2">
        <f t="shared" si="158"/>
      </c>
      <c r="DC71" s="2">
        <f t="shared" si="93"/>
      </c>
      <c r="DD71" s="2">
        <f t="shared" si="94"/>
      </c>
      <c r="DE71" s="2">
        <f t="shared" si="95"/>
      </c>
      <c r="DF71" s="2">
        <f t="shared" si="24"/>
      </c>
      <c r="DG71" s="129">
        <f t="shared" si="25"/>
      </c>
      <c r="DH71" s="2">
        <f t="shared" si="159"/>
      </c>
      <c r="DI71" s="2">
        <f t="shared" si="96"/>
      </c>
      <c r="DJ71" s="129">
        <f t="shared" si="97"/>
      </c>
      <c r="DK71" s="2">
        <f t="shared" si="160"/>
      </c>
      <c r="DL71" s="2">
        <f t="shared" si="98"/>
      </c>
      <c r="DM71" s="129">
        <f t="shared" si="99"/>
      </c>
      <c r="DN71" s="2">
        <f t="shared" si="161"/>
      </c>
      <c r="DO71" s="2">
        <f t="shared" si="162"/>
      </c>
      <c r="DP71" s="129">
        <f t="shared" si="100"/>
      </c>
      <c r="DQ71" s="2">
        <f t="shared" si="163"/>
      </c>
      <c r="DR71" s="2">
        <f t="shared" si="164"/>
      </c>
      <c r="DS71" s="129">
        <f t="shared" si="101"/>
      </c>
      <c r="DT71" s="2">
        <f t="shared" si="165"/>
      </c>
      <c r="DU71" s="2">
        <f t="shared" si="166"/>
      </c>
      <c r="DV71" s="129">
        <f t="shared" si="102"/>
      </c>
      <c r="DW71" s="2">
        <f t="shared" si="103"/>
      </c>
      <c r="DX71" s="2">
        <f t="shared" si="104"/>
      </c>
      <c r="DY71" s="129">
        <f t="shared" si="105"/>
      </c>
      <c r="DZ71" s="129"/>
      <c r="EA71" s="21">
        <f t="shared" si="106"/>
      </c>
      <c r="EB71" s="382">
        <f t="shared" si="107"/>
        <v>401769</v>
      </c>
      <c r="EC71" s="382">
        <f t="shared" si="108"/>
        <v>401769</v>
      </c>
      <c r="ED71" s="2">
        <f aca="true" t="shared" si="184" ref="ED71:ED95">IF(EC71=CX71,CY71,IF(EC71=CU71,CV71,""))</f>
      </c>
      <c r="EE71" s="382">
        <f t="shared" si="110"/>
        <v>401769</v>
      </c>
      <c r="EF71" s="382">
        <f aca="true" t="shared" si="185" ref="EF71:EF95">IF(AND(DA71=55,S71=55,T71=30),CX71,IF(AND(DA71=55,S71&gt;55,T71=30),CQ71,IF(AND(DA71=55,S71=55,T71&gt;30),CN71,"")))</f>
      </c>
      <c r="EG71" s="382">
        <f aca="true" t="shared" si="186" ref="EG71:EG95">IF(AND(S71=GF71,T71=15),CX71,IF(AND(S71=GF71,T71=30),CU71,IF(AND(S71&gt;GF71,T71=15),CQ71,IF(AND(S71=GF71,T71&gt;15),CN71,""))))</f>
      </c>
      <c r="EH71" s="382"/>
      <c r="EI71" s="382">
        <f aca="true" t="shared" si="187" ref="EI71:EI95">IF(DA71=65,CN71,"")</f>
      </c>
      <c r="EJ71" s="208">
        <f t="shared" si="34"/>
        <v>401769</v>
      </c>
      <c r="EK71" s="2">
        <f t="shared" si="114"/>
      </c>
      <c r="EL71" s="2">
        <f t="shared" si="167"/>
      </c>
      <c r="EM71" s="34"/>
      <c r="EN71" s="7">
        <f t="shared" si="168"/>
        <v>1</v>
      </c>
      <c r="EO71" s="124">
        <f t="shared" si="169"/>
        <v>0</v>
      </c>
      <c r="EP71" s="214" t="str">
        <f t="shared" si="170"/>
        <v>●</v>
      </c>
      <c r="EQ71" s="213" t="str">
        <f t="shared" si="171"/>
        <v>●</v>
      </c>
      <c r="ER71" s="213" t="e">
        <f t="shared" si="172"/>
        <v>#VALUE!</v>
      </c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2"/>
      <c r="FD71" s="20"/>
      <c r="FE71" s="20">
        <f t="shared" si="115"/>
        <v>146</v>
      </c>
      <c r="FF71" s="2">
        <f t="shared" si="116"/>
        <v>1</v>
      </c>
      <c r="FG71" s="2">
        <f t="shared" si="117"/>
        <v>1</v>
      </c>
      <c r="FH71" s="2">
        <f t="shared" si="118"/>
        <v>1</v>
      </c>
      <c r="FI71" s="2">
        <f t="shared" si="119"/>
        <v>1</v>
      </c>
      <c r="FJ71" s="20"/>
      <c r="FK71" s="326">
        <f t="shared" si="120"/>
        <v>0</v>
      </c>
      <c r="FL71" s="326">
        <f t="shared" si="121"/>
        <v>0</v>
      </c>
      <c r="FM71" s="326">
        <f t="shared" si="122"/>
        <v>0</v>
      </c>
      <c r="FN71" s="326">
        <f t="shared" si="123"/>
        <v>0</v>
      </c>
      <c r="FP71" s="326"/>
      <c r="FQ71" s="326"/>
      <c r="FR71" s="326"/>
      <c r="FS71" s="326"/>
      <c r="GF71" s="2">
        <v>65</v>
      </c>
      <c r="GG71" s="2">
        <f t="shared" si="128"/>
        <v>1</v>
      </c>
      <c r="GH71" s="2">
        <f t="shared" si="129"/>
      </c>
      <c r="GI71" s="20">
        <f t="shared" si="130"/>
      </c>
      <c r="GJ71" s="20"/>
      <c r="GK71" s="20">
        <f t="shared" si="131"/>
      </c>
    </row>
    <row r="72" spans="1:193" s="29" customFormat="1" ht="15.75" customHeight="1" hidden="1" thickBot="1" thickTop="1">
      <c r="A72" s="144"/>
      <c r="B72" s="150">
        <f t="shared" si="132"/>
        <v>147</v>
      </c>
      <c r="C72" s="26">
        <f t="shared" si="43"/>
        <v>20581231</v>
      </c>
      <c r="D72" s="26" t="str">
        <f t="shared" si="44"/>
        <v>2058</v>
      </c>
      <c r="E72" s="26" t="str">
        <f t="shared" si="45"/>
        <v>12</v>
      </c>
      <c r="F72" s="26" t="str">
        <f t="shared" si="46"/>
        <v>31</v>
      </c>
      <c r="G72" s="26" t="str">
        <f t="shared" si="47"/>
        <v>2058/12/31</v>
      </c>
      <c r="H72" s="117">
        <f t="shared" si="0"/>
        <v>65</v>
      </c>
      <c r="I72" s="117">
        <f t="shared" si="48"/>
        <v>0</v>
      </c>
      <c r="J72" s="26">
        <f t="shared" si="173"/>
        <v>18</v>
      </c>
      <c r="K72" s="118">
        <f t="shared" si="143"/>
        <v>65</v>
      </c>
      <c r="L72" s="118">
        <f t="shared" si="144"/>
        <v>0</v>
      </c>
      <c r="M72" s="118">
        <f t="shared" si="145"/>
        <v>18</v>
      </c>
      <c r="N72" s="609" t="str">
        <f t="shared" si="175"/>
        <v>147.1.1~147.12.31</v>
      </c>
      <c r="O72" s="610"/>
      <c r="P72" s="610"/>
      <c r="Q72" s="611"/>
      <c r="R72" s="292" t="str">
        <f t="shared" si="134"/>
        <v>65</v>
      </c>
      <c r="S72" s="338">
        <f t="shared" si="49"/>
        <v>85</v>
      </c>
      <c r="T72" s="339">
        <f t="shared" si="50"/>
        <v>65</v>
      </c>
      <c r="U72" s="204">
        <f t="shared" si="51"/>
        <v>150</v>
      </c>
      <c r="V72" s="149"/>
      <c r="W72" s="613">
        <f t="shared" si="176"/>
      </c>
      <c r="X72" s="614"/>
      <c r="Y72" s="614"/>
      <c r="Z72" s="615"/>
      <c r="AA72" s="262">
        <f t="shared" si="54"/>
      </c>
      <c r="AB72" s="318">
        <f t="shared" si="55"/>
      </c>
      <c r="AC72" s="318">
        <f t="shared" si="56"/>
      </c>
      <c r="AD72" s="220">
        <f t="shared" si="57"/>
      </c>
      <c r="AE72" s="262">
        <f t="shared" si="58"/>
      </c>
      <c r="AF72" s="231">
        <f t="shared" si="59"/>
      </c>
      <c r="AG72" s="310">
        <f t="shared" si="177"/>
      </c>
      <c r="AH72" s="227">
        <f t="shared" si="178"/>
      </c>
      <c r="AI72" s="320">
        <f t="shared" si="179"/>
      </c>
      <c r="AJ72" s="320">
        <f t="shared" si="180"/>
      </c>
      <c r="AK72" s="320">
        <f t="shared" si="181"/>
      </c>
      <c r="AL72" s="320">
        <f t="shared" si="182"/>
      </c>
      <c r="AM72" s="282">
        <f t="shared" si="183"/>
      </c>
      <c r="AN72" s="103"/>
      <c r="AO72" s="119">
        <f t="shared" si="146"/>
        <v>0</v>
      </c>
      <c r="AP72" s="119">
        <f t="shared" si="67"/>
        <v>1</v>
      </c>
      <c r="AQ72" s="119">
        <f t="shared" si="68"/>
        <v>1</v>
      </c>
      <c r="AR72" s="119">
        <f>IF(OR(AO72+AP72+AQ72+GG72&gt;0,SUM($AO$30:AQ71)+GG71&gt;0),1,0)</f>
        <v>1</v>
      </c>
      <c r="AS72" s="119">
        <f t="shared" si="147"/>
      </c>
      <c r="AT72" s="119" t="str">
        <f t="shared" si="69"/>
        <v>符合「年齡滿65歲、年資滿15年」之屆齡退休擇領月退休金條件</v>
      </c>
      <c r="AU72" s="119">
        <f t="shared" si="70"/>
      </c>
      <c r="AV72" s="380" t="str">
        <f t="shared" si="71"/>
        <v>符合「年齡滿65歲、年資滿15年」之屆齡退休擇領月退休金條件</v>
      </c>
      <c r="AW72" s="120">
        <f t="shared" si="148"/>
        <v>0</v>
      </c>
      <c r="AX72" s="120">
        <f t="shared" si="149"/>
        <v>1</v>
      </c>
      <c r="AY72" s="120" t="str">
        <f t="shared" si="174"/>
        <v>符合</v>
      </c>
      <c r="AZ72" s="120">
        <f t="shared" si="150"/>
        <v>85</v>
      </c>
      <c r="BA72" s="120">
        <f t="shared" si="151"/>
        <v>20581231</v>
      </c>
      <c r="BB72" s="120" t="str">
        <f t="shared" si="152"/>
        <v>147.1.1~147.12.31</v>
      </c>
      <c r="BC72" s="121">
        <f t="shared" si="73"/>
      </c>
      <c r="BD72" s="122">
        <f t="shared" si="74"/>
      </c>
      <c r="BE72" s="122"/>
      <c r="BF72" s="120"/>
      <c r="BG72" s="123">
        <f t="shared" si="75"/>
      </c>
      <c r="BH72" s="31">
        <f t="shared" si="76"/>
        <v>1</v>
      </c>
      <c r="BI72" s="7">
        <f t="shared" si="77"/>
        <v>1</v>
      </c>
      <c r="BJ72" s="7"/>
      <c r="BK72" s="124">
        <f t="shared" si="153"/>
        <v>0</v>
      </c>
      <c r="BL72" s="124">
        <f t="shared" si="79"/>
      </c>
      <c r="BM72" s="124">
        <f t="shared" si="80"/>
        <v>0</v>
      </c>
      <c r="BN72" s="124">
        <f t="shared" si="81"/>
      </c>
      <c r="BO72" s="124">
        <f t="shared" si="82"/>
        <v>0</v>
      </c>
      <c r="BP72" s="124">
        <f t="shared" si="12"/>
      </c>
      <c r="BQ72" s="33"/>
      <c r="BR72" s="33"/>
      <c r="BS72" s="33"/>
      <c r="BT72" s="33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4"/>
      <c r="CH72" s="34"/>
      <c r="CI72" s="34"/>
      <c r="CJ72" s="34"/>
      <c r="CK72" s="183">
        <f t="shared" si="154"/>
        <v>13</v>
      </c>
      <c r="CL72" s="7">
        <f t="shared" si="155"/>
        <v>12</v>
      </c>
      <c r="CM72" s="20">
        <f t="shared" si="156"/>
        <v>147</v>
      </c>
      <c r="CN72" s="382">
        <f t="shared" si="83"/>
        <v>58061</v>
      </c>
      <c r="CO72" s="185">
        <f t="shared" si="84"/>
        <v>12</v>
      </c>
      <c r="CP72" s="2">
        <f t="shared" si="138"/>
        <v>17</v>
      </c>
      <c r="CQ72" s="382">
        <f t="shared" si="85"/>
        <v>58057</v>
      </c>
      <c r="CR72" s="185">
        <f t="shared" si="135"/>
        <v>12</v>
      </c>
      <c r="CS72" s="2">
        <f t="shared" si="136"/>
        <v>13</v>
      </c>
      <c r="CT72" s="2" t="str">
        <f t="shared" si="139"/>
        <v>初任</v>
      </c>
      <c r="CU72" s="382">
        <f t="shared" si="87"/>
        <v>58057</v>
      </c>
      <c r="CV72" s="2">
        <f t="shared" si="140"/>
        <v>12</v>
      </c>
      <c r="CW72" s="2" t="str">
        <f t="shared" si="141"/>
        <v>生日</v>
      </c>
      <c r="CX72" s="382">
        <f t="shared" si="90"/>
        <v>58061</v>
      </c>
      <c r="CY72" s="2">
        <f t="shared" si="142"/>
        <v>12</v>
      </c>
      <c r="CZ72" s="2">
        <f t="shared" si="157"/>
        <v>0</v>
      </c>
      <c r="DA72" s="2">
        <f t="shared" si="92"/>
      </c>
      <c r="DB72" s="2">
        <f t="shared" si="158"/>
      </c>
      <c r="DC72" s="2">
        <f t="shared" si="93"/>
      </c>
      <c r="DD72" s="2">
        <f t="shared" si="94"/>
      </c>
      <c r="DE72" s="2">
        <f t="shared" si="95"/>
      </c>
      <c r="DF72" s="2">
        <f t="shared" si="24"/>
      </c>
      <c r="DG72" s="129">
        <f t="shared" si="25"/>
      </c>
      <c r="DH72" s="2">
        <f t="shared" si="159"/>
      </c>
      <c r="DI72" s="2">
        <f t="shared" si="96"/>
      </c>
      <c r="DJ72" s="129">
        <f t="shared" si="97"/>
      </c>
      <c r="DK72" s="2">
        <f t="shared" si="160"/>
      </c>
      <c r="DL72" s="2">
        <f t="shared" si="98"/>
      </c>
      <c r="DM72" s="129">
        <f t="shared" si="99"/>
      </c>
      <c r="DN72" s="2">
        <f t="shared" si="161"/>
      </c>
      <c r="DO72" s="2">
        <f t="shared" si="162"/>
      </c>
      <c r="DP72" s="129">
        <f t="shared" si="100"/>
      </c>
      <c r="DQ72" s="2">
        <f t="shared" si="163"/>
      </c>
      <c r="DR72" s="2">
        <f t="shared" si="164"/>
      </c>
      <c r="DS72" s="129">
        <f t="shared" si="101"/>
      </c>
      <c r="DT72" s="2">
        <f t="shared" si="165"/>
      </c>
      <c r="DU72" s="2">
        <f t="shared" si="166"/>
      </c>
      <c r="DV72" s="129">
        <f t="shared" si="102"/>
      </c>
      <c r="DW72" s="2">
        <f t="shared" si="103"/>
      </c>
      <c r="DX72" s="2">
        <f t="shared" si="104"/>
      </c>
      <c r="DY72" s="129">
        <f t="shared" si="105"/>
      </c>
      <c r="DZ72" s="129"/>
      <c r="EA72" s="21">
        <f t="shared" si="106"/>
      </c>
      <c r="EB72" s="382">
        <f t="shared" si="107"/>
        <v>401769</v>
      </c>
      <c r="EC72" s="382">
        <f t="shared" si="108"/>
        <v>401769</v>
      </c>
      <c r="ED72" s="2">
        <f t="shared" si="184"/>
      </c>
      <c r="EE72" s="382">
        <f t="shared" si="110"/>
        <v>401769</v>
      </c>
      <c r="EF72" s="382">
        <f t="shared" si="185"/>
      </c>
      <c r="EG72" s="382">
        <f t="shared" si="186"/>
      </c>
      <c r="EH72" s="382"/>
      <c r="EI72" s="382">
        <f t="shared" si="187"/>
      </c>
      <c r="EJ72" s="208">
        <f t="shared" si="34"/>
        <v>401769</v>
      </c>
      <c r="EK72" s="2">
        <f t="shared" si="114"/>
      </c>
      <c r="EL72" s="2">
        <f t="shared" si="167"/>
      </c>
      <c r="EM72" s="34"/>
      <c r="EN72" s="7">
        <f t="shared" si="168"/>
        <v>1</v>
      </c>
      <c r="EO72" s="124">
        <f t="shared" si="169"/>
        <v>0</v>
      </c>
      <c r="EP72" s="214" t="str">
        <f t="shared" si="170"/>
        <v>●</v>
      </c>
      <c r="EQ72" s="213" t="str">
        <f t="shared" si="171"/>
        <v>●</v>
      </c>
      <c r="ER72" s="213" t="e">
        <f t="shared" si="172"/>
        <v>#VALUE!</v>
      </c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2"/>
      <c r="FD72" s="20"/>
      <c r="FE72" s="20">
        <f t="shared" si="115"/>
        <v>147</v>
      </c>
      <c r="FF72" s="2">
        <f t="shared" si="116"/>
        <v>1</v>
      </c>
      <c r="FG72" s="2">
        <f t="shared" si="117"/>
        <v>1</v>
      </c>
      <c r="FH72" s="2">
        <f t="shared" si="118"/>
        <v>1</v>
      </c>
      <c r="FI72" s="2">
        <f t="shared" si="119"/>
        <v>1</v>
      </c>
      <c r="FJ72" s="20"/>
      <c r="FK72" s="326">
        <f t="shared" si="120"/>
        <v>0</v>
      </c>
      <c r="FL72" s="326">
        <f t="shared" si="121"/>
        <v>0</v>
      </c>
      <c r="FM72" s="326">
        <f t="shared" si="122"/>
        <v>0</v>
      </c>
      <c r="FN72" s="326">
        <f t="shared" si="123"/>
        <v>0</v>
      </c>
      <c r="FP72" s="326"/>
      <c r="FQ72" s="326"/>
      <c r="FR72" s="326"/>
      <c r="FS72" s="326"/>
      <c r="GF72" s="2">
        <v>65</v>
      </c>
      <c r="GG72" s="2">
        <f t="shared" si="128"/>
        <v>1</v>
      </c>
      <c r="GH72" s="2">
        <f t="shared" si="129"/>
      </c>
      <c r="GI72" s="20">
        <f t="shared" si="130"/>
      </c>
      <c r="GJ72" s="20"/>
      <c r="GK72" s="20">
        <f t="shared" si="131"/>
      </c>
    </row>
    <row r="73" spans="1:193" s="29" customFormat="1" ht="15.75" customHeight="1" hidden="1" thickBot="1" thickTop="1">
      <c r="A73" s="144"/>
      <c r="B73" s="150">
        <f t="shared" si="132"/>
        <v>148</v>
      </c>
      <c r="C73" s="26">
        <f t="shared" si="43"/>
        <v>20591231</v>
      </c>
      <c r="D73" s="26" t="str">
        <f t="shared" si="44"/>
        <v>2059</v>
      </c>
      <c r="E73" s="26" t="str">
        <f t="shared" si="45"/>
        <v>12</v>
      </c>
      <c r="F73" s="26" t="str">
        <f t="shared" si="46"/>
        <v>31</v>
      </c>
      <c r="G73" s="26" t="str">
        <f t="shared" si="47"/>
        <v>2059/12/31</v>
      </c>
      <c r="H73" s="117">
        <f t="shared" si="0"/>
        <v>66</v>
      </c>
      <c r="I73" s="117">
        <f t="shared" si="48"/>
        <v>0</v>
      </c>
      <c r="J73" s="26">
        <f t="shared" si="173"/>
        <v>18</v>
      </c>
      <c r="K73" s="118">
        <f t="shared" si="143"/>
        <v>66</v>
      </c>
      <c r="L73" s="118">
        <f t="shared" si="144"/>
        <v>0</v>
      </c>
      <c r="M73" s="118">
        <f t="shared" si="145"/>
        <v>18</v>
      </c>
      <c r="N73" s="609" t="str">
        <f t="shared" si="175"/>
        <v>148.1.1~148.12.31</v>
      </c>
      <c r="O73" s="610"/>
      <c r="P73" s="610"/>
      <c r="Q73" s="611"/>
      <c r="R73" s="292" t="str">
        <f t="shared" si="134"/>
        <v>65</v>
      </c>
      <c r="S73" s="338">
        <f t="shared" si="49"/>
        <v>86</v>
      </c>
      <c r="T73" s="339">
        <f t="shared" si="50"/>
        <v>66</v>
      </c>
      <c r="U73" s="204">
        <f t="shared" si="51"/>
        <v>152</v>
      </c>
      <c r="V73" s="149"/>
      <c r="W73" s="613">
        <f t="shared" si="176"/>
      </c>
      <c r="X73" s="614"/>
      <c r="Y73" s="614"/>
      <c r="Z73" s="615"/>
      <c r="AA73" s="262">
        <f t="shared" si="54"/>
      </c>
      <c r="AB73" s="318">
        <f t="shared" si="55"/>
      </c>
      <c r="AC73" s="318">
        <f t="shared" si="56"/>
      </c>
      <c r="AD73" s="220">
        <f t="shared" si="57"/>
      </c>
      <c r="AE73" s="262">
        <f t="shared" si="58"/>
      </c>
      <c r="AF73" s="231">
        <f t="shared" si="59"/>
      </c>
      <c r="AG73" s="310">
        <f t="shared" si="177"/>
      </c>
      <c r="AH73" s="227">
        <f t="shared" si="178"/>
      </c>
      <c r="AI73" s="320">
        <f t="shared" si="179"/>
      </c>
      <c r="AJ73" s="320">
        <f t="shared" si="180"/>
      </c>
      <c r="AK73" s="320">
        <f t="shared" si="181"/>
      </c>
      <c r="AL73" s="320">
        <f t="shared" si="182"/>
      </c>
      <c r="AM73" s="282">
        <f t="shared" si="183"/>
      </c>
      <c r="AN73" s="103"/>
      <c r="AO73" s="119">
        <f t="shared" si="146"/>
        <v>0</v>
      </c>
      <c r="AP73" s="119">
        <f t="shared" si="67"/>
        <v>1</v>
      </c>
      <c r="AQ73" s="119">
        <f t="shared" si="68"/>
        <v>1</v>
      </c>
      <c r="AR73" s="119">
        <f>IF(OR(AO73+AP73+AQ73+GG73&gt;0,SUM($AO$30:AQ72)+GG72&gt;0),1,0)</f>
        <v>1</v>
      </c>
      <c r="AS73" s="119">
        <f t="shared" si="147"/>
      </c>
      <c r="AT73" s="119" t="str">
        <f t="shared" si="69"/>
        <v>符合「年齡滿65歲、年資滿15年」之屆齡退休擇領月退休金條件</v>
      </c>
      <c r="AU73" s="119">
        <f t="shared" si="70"/>
      </c>
      <c r="AV73" s="380" t="str">
        <f t="shared" si="71"/>
        <v>符合「年齡滿65歲、年資滿15年」之屆齡退休擇領月退休金條件</v>
      </c>
      <c r="AW73" s="120">
        <f t="shared" si="148"/>
        <v>0</v>
      </c>
      <c r="AX73" s="120">
        <f t="shared" si="149"/>
        <v>1</v>
      </c>
      <c r="AY73" s="120" t="str">
        <f t="shared" si="174"/>
        <v>符合</v>
      </c>
      <c r="AZ73" s="120">
        <f t="shared" si="150"/>
        <v>86</v>
      </c>
      <c r="BA73" s="120">
        <f t="shared" si="151"/>
        <v>20591231</v>
      </c>
      <c r="BB73" s="120" t="str">
        <f t="shared" si="152"/>
        <v>148.1.1~148.12.31</v>
      </c>
      <c r="BC73" s="121">
        <f t="shared" si="73"/>
      </c>
      <c r="BD73" s="122">
        <f t="shared" si="74"/>
      </c>
      <c r="BE73" s="122"/>
      <c r="BF73" s="120"/>
      <c r="BG73" s="123">
        <f t="shared" si="75"/>
      </c>
      <c r="BH73" s="31">
        <f t="shared" si="76"/>
        <v>1</v>
      </c>
      <c r="BI73" s="7">
        <f t="shared" si="77"/>
        <v>1</v>
      </c>
      <c r="BJ73" s="7"/>
      <c r="BK73" s="124">
        <f t="shared" si="153"/>
        <v>0</v>
      </c>
      <c r="BL73" s="124">
        <f t="shared" si="79"/>
      </c>
      <c r="BM73" s="124">
        <f t="shared" si="80"/>
        <v>0</v>
      </c>
      <c r="BN73" s="124">
        <f t="shared" si="81"/>
      </c>
      <c r="BO73" s="124">
        <f t="shared" si="82"/>
        <v>0</v>
      </c>
      <c r="BP73" s="124">
        <f t="shared" si="12"/>
      </c>
      <c r="BQ73" s="33"/>
      <c r="BR73" s="33"/>
      <c r="BS73" s="33"/>
      <c r="BT73" s="33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4"/>
      <c r="CH73" s="34"/>
      <c r="CI73" s="34"/>
      <c r="CJ73" s="34"/>
      <c r="CK73" s="183">
        <f t="shared" si="154"/>
        <v>13</v>
      </c>
      <c r="CL73" s="7">
        <f t="shared" si="155"/>
        <v>12</v>
      </c>
      <c r="CM73" s="20">
        <f t="shared" si="156"/>
        <v>148</v>
      </c>
      <c r="CN73" s="382">
        <f t="shared" si="83"/>
        <v>58426</v>
      </c>
      <c r="CO73" s="185">
        <f t="shared" si="84"/>
        <v>12</v>
      </c>
      <c r="CP73" s="2">
        <f t="shared" si="138"/>
        <v>17</v>
      </c>
      <c r="CQ73" s="382">
        <f t="shared" si="85"/>
        <v>58422</v>
      </c>
      <c r="CR73" s="185">
        <f t="shared" si="135"/>
        <v>12</v>
      </c>
      <c r="CS73" s="2">
        <f t="shared" si="136"/>
        <v>13</v>
      </c>
      <c r="CT73" s="2" t="str">
        <f t="shared" si="139"/>
        <v>初任</v>
      </c>
      <c r="CU73" s="382">
        <f t="shared" si="87"/>
        <v>58422</v>
      </c>
      <c r="CV73" s="2">
        <f t="shared" si="140"/>
        <v>12</v>
      </c>
      <c r="CW73" s="2" t="str">
        <f t="shared" si="141"/>
        <v>生日</v>
      </c>
      <c r="CX73" s="382">
        <f t="shared" si="90"/>
        <v>58426</v>
      </c>
      <c r="CY73" s="2">
        <f t="shared" si="142"/>
        <v>12</v>
      </c>
      <c r="CZ73" s="2">
        <f t="shared" si="157"/>
        <v>0</v>
      </c>
      <c r="DA73" s="2">
        <f t="shared" si="92"/>
      </c>
      <c r="DB73" s="2">
        <f t="shared" si="158"/>
      </c>
      <c r="DC73" s="2">
        <f t="shared" si="93"/>
      </c>
      <c r="DD73" s="2">
        <f t="shared" si="94"/>
      </c>
      <c r="DE73" s="2">
        <f t="shared" si="95"/>
      </c>
      <c r="DF73" s="2">
        <f t="shared" si="24"/>
      </c>
      <c r="DG73" s="129">
        <f t="shared" si="25"/>
      </c>
      <c r="DH73" s="2">
        <f t="shared" si="159"/>
      </c>
      <c r="DI73" s="2">
        <f t="shared" si="96"/>
      </c>
      <c r="DJ73" s="129">
        <f t="shared" si="97"/>
      </c>
      <c r="DK73" s="2">
        <f t="shared" si="160"/>
      </c>
      <c r="DL73" s="2">
        <f t="shared" si="98"/>
      </c>
      <c r="DM73" s="129">
        <f t="shared" si="99"/>
      </c>
      <c r="DN73" s="2">
        <f t="shared" si="161"/>
      </c>
      <c r="DO73" s="2">
        <f t="shared" si="162"/>
      </c>
      <c r="DP73" s="129">
        <f t="shared" si="100"/>
      </c>
      <c r="DQ73" s="2">
        <f t="shared" si="163"/>
      </c>
      <c r="DR73" s="2">
        <f t="shared" si="164"/>
      </c>
      <c r="DS73" s="129">
        <f t="shared" si="101"/>
      </c>
      <c r="DT73" s="2">
        <f t="shared" si="165"/>
      </c>
      <c r="DU73" s="2">
        <f t="shared" si="166"/>
      </c>
      <c r="DV73" s="129">
        <f t="shared" si="102"/>
      </c>
      <c r="DW73" s="2">
        <f t="shared" si="103"/>
      </c>
      <c r="DX73" s="2">
        <f t="shared" si="104"/>
      </c>
      <c r="DY73" s="129">
        <f t="shared" si="105"/>
      </c>
      <c r="DZ73" s="129"/>
      <c r="EA73" s="21">
        <f t="shared" si="106"/>
      </c>
      <c r="EB73" s="382">
        <f t="shared" si="107"/>
        <v>401769</v>
      </c>
      <c r="EC73" s="382">
        <f t="shared" si="108"/>
        <v>401769</v>
      </c>
      <c r="ED73" s="2">
        <f t="shared" si="184"/>
      </c>
      <c r="EE73" s="382">
        <f t="shared" si="110"/>
        <v>401769</v>
      </c>
      <c r="EF73" s="382">
        <f t="shared" si="185"/>
      </c>
      <c r="EG73" s="382">
        <f t="shared" si="186"/>
      </c>
      <c r="EH73" s="382"/>
      <c r="EI73" s="382">
        <f t="shared" si="187"/>
      </c>
      <c r="EJ73" s="208">
        <f t="shared" si="34"/>
        <v>401769</v>
      </c>
      <c r="EK73" s="2">
        <f t="shared" si="114"/>
      </c>
      <c r="EL73" s="2">
        <f t="shared" si="167"/>
      </c>
      <c r="EM73" s="34"/>
      <c r="EN73" s="7">
        <f t="shared" si="168"/>
        <v>1</v>
      </c>
      <c r="EO73" s="124">
        <f t="shared" si="169"/>
        <v>0</v>
      </c>
      <c r="EP73" s="214" t="str">
        <f t="shared" si="170"/>
        <v>●</v>
      </c>
      <c r="EQ73" s="213" t="str">
        <f t="shared" si="171"/>
        <v>●</v>
      </c>
      <c r="ER73" s="213" t="e">
        <f t="shared" si="172"/>
        <v>#VALUE!</v>
      </c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2"/>
      <c r="FD73" s="20"/>
      <c r="FE73" s="20">
        <f t="shared" si="115"/>
        <v>148</v>
      </c>
      <c r="FF73" s="2">
        <f t="shared" si="116"/>
        <v>1</v>
      </c>
      <c r="FG73" s="2">
        <f t="shared" si="117"/>
        <v>1</v>
      </c>
      <c r="FH73" s="2">
        <f t="shared" si="118"/>
        <v>1</v>
      </c>
      <c r="FI73" s="2">
        <f t="shared" si="119"/>
        <v>1</v>
      </c>
      <c r="FJ73" s="20"/>
      <c r="FK73" s="326">
        <f t="shared" si="120"/>
        <v>0</v>
      </c>
      <c r="FL73" s="326">
        <f t="shared" si="121"/>
        <v>0</v>
      </c>
      <c r="FM73" s="326">
        <f t="shared" si="122"/>
        <v>0</v>
      </c>
      <c r="FN73" s="326">
        <f t="shared" si="123"/>
        <v>0</v>
      </c>
      <c r="FP73" s="326"/>
      <c r="FQ73" s="326"/>
      <c r="FR73" s="326"/>
      <c r="FS73" s="326"/>
      <c r="GF73" s="2">
        <v>65</v>
      </c>
      <c r="GG73" s="2">
        <f t="shared" si="128"/>
        <v>1</v>
      </c>
      <c r="GH73" s="2">
        <f t="shared" si="129"/>
      </c>
      <c r="GI73" s="20">
        <f t="shared" si="130"/>
      </c>
      <c r="GJ73" s="20"/>
      <c r="GK73" s="20">
        <f t="shared" si="131"/>
      </c>
    </row>
    <row r="74" spans="1:193" s="29" customFormat="1" ht="15.75" customHeight="1" hidden="1" thickBot="1" thickTop="1">
      <c r="A74" s="144"/>
      <c r="B74" s="150">
        <f t="shared" si="132"/>
        <v>149</v>
      </c>
      <c r="C74" s="26">
        <f t="shared" si="43"/>
        <v>20601231</v>
      </c>
      <c r="D74" s="26" t="str">
        <f t="shared" si="44"/>
        <v>2060</v>
      </c>
      <c r="E74" s="26" t="str">
        <f t="shared" si="45"/>
        <v>12</v>
      </c>
      <c r="F74" s="26" t="str">
        <f t="shared" si="46"/>
        <v>31</v>
      </c>
      <c r="G74" s="26" t="str">
        <f t="shared" si="47"/>
        <v>2060/12/31</v>
      </c>
      <c r="H74" s="117">
        <f t="shared" si="0"/>
        <v>67</v>
      </c>
      <c r="I74" s="117">
        <f t="shared" si="48"/>
        <v>0</v>
      </c>
      <c r="J74" s="26">
        <f t="shared" si="173"/>
        <v>18</v>
      </c>
      <c r="K74" s="118">
        <f t="shared" si="143"/>
        <v>67</v>
      </c>
      <c r="L74" s="118">
        <f t="shared" si="144"/>
        <v>0</v>
      </c>
      <c r="M74" s="118">
        <f t="shared" si="145"/>
        <v>18</v>
      </c>
      <c r="N74" s="609" t="str">
        <f t="shared" si="175"/>
        <v>149.1.1~149.12.31</v>
      </c>
      <c r="O74" s="610"/>
      <c r="P74" s="610"/>
      <c r="Q74" s="611"/>
      <c r="R74" s="292" t="str">
        <f t="shared" si="134"/>
        <v>65</v>
      </c>
      <c r="S74" s="338">
        <f t="shared" si="49"/>
        <v>87</v>
      </c>
      <c r="T74" s="339">
        <f t="shared" si="50"/>
        <v>67</v>
      </c>
      <c r="U74" s="204">
        <f t="shared" si="51"/>
        <v>154</v>
      </c>
      <c r="V74" s="149"/>
      <c r="W74" s="613">
        <f t="shared" si="176"/>
      </c>
      <c r="X74" s="614"/>
      <c r="Y74" s="614"/>
      <c r="Z74" s="615"/>
      <c r="AA74" s="262">
        <f t="shared" si="54"/>
      </c>
      <c r="AB74" s="318">
        <f t="shared" si="55"/>
      </c>
      <c r="AC74" s="318">
        <f t="shared" si="56"/>
      </c>
      <c r="AD74" s="220">
        <f t="shared" si="57"/>
      </c>
      <c r="AE74" s="262">
        <f t="shared" si="58"/>
      </c>
      <c r="AF74" s="231">
        <f t="shared" si="59"/>
      </c>
      <c r="AG74" s="310">
        <f t="shared" si="177"/>
      </c>
      <c r="AH74" s="227">
        <f t="shared" si="178"/>
      </c>
      <c r="AI74" s="320">
        <f t="shared" si="179"/>
      </c>
      <c r="AJ74" s="320">
        <f t="shared" si="180"/>
      </c>
      <c r="AK74" s="320">
        <f t="shared" si="181"/>
      </c>
      <c r="AL74" s="320">
        <f t="shared" si="182"/>
      </c>
      <c r="AM74" s="282">
        <f t="shared" si="183"/>
      </c>
      <c r="AN74" s="103"/>
      <c r="AO74" s="119">
        <f t="shared" si="146"/>
        <v>0</v>
      </c>
      <c r="AP74" s="119">
        <f t="shared" si="67"/>
        <v>1</v>
      </c>
      <c r="AQ74" s="119">
        <f t="shared" si="68"/>
        <v>1</v>
      </c>
      <c r="AR74" s="119">
        <f>IF(OR(AO74+AP74+AQ74+GG74&gt;0,SUM($AO$30:AQ73)+GG73&gt;0),1,0)</f>
        <v>1</v>
      </c>
      <c r="AS74" s="119">
        <f t="shared" si="147"/>
      </c>
      <c r="AT74" s="119" t="str">
        <f t="shared" si="69"/>
        <v>符合「年齡滿65歲、年資滿15年」之屆齡退休擇領月退休金條件</v>
      </c>
      <c r="AU74" s="119">
        <f t="shared" si="70"/>
      </c>
      <c r="AV74" s="380" t="str">
        <f t="shared" si="71"/>
        <v>符合「年齡滿65歲、年資滿15年」之屆齡退休擇領月退休金條件</v>
      </c>
      <c r="AW74" s="120">
        <f t="shared" si="148"/>
        <v>0</v>
      </c>
      <c r="AX74" s="120">
        <f t="shared" si="149"/>
        <v>1</v>
      </c>
      <c r="AY74" s="120" t="str">
        <f t="shared" si="174"/>
        <v>符合</v>
      </c>
      <c r="AZ74" s="120">
        <f t="shared" si="150"/>
        <v>87</v>
      </c>
      <c r="BA74" s="120">
        <f t="shared" si="151"/>
        <v>20601231</v>
      </c>
      <c r="BB74" s="120" t="str">
        <f t="shared" si="152"/>
        <v>149.1.1~149.12.31</v>
      </c>
      <c r="BC74" s="121">
        <f t="shared" si="73"/>
      </c>
      <c r="BD74" s="122">
        <f t="shared" si="74"/>
      </c>
      <c r="BE74" s="122"/>
      <c r="BF74" s="120"/>
      <c r="BG74" s="123">
        <f t="shared" si="75"/>
      </c>
      <c r="BH74" s="31">
        <f t="shared" si="76"/>
        <v>1</v>
      </c>
      <c r="BI74" s="7">
        <f t="shared" si="77"/>
        <v>1</v>
      </c>
      <c r="BJ74" s="7"/>
      <c r="BK74" s="124">
        <f t="shared" si="153"/>
        <v>0</v>
      </c>
      <c r="BL74" s="124">
        <f t="shared" si="79"/>
      </c>
      <c r="BM74" s="124">
        <f t="shared" si="80"/>
        <v>0</v>
      </c>
      <c r="BN74" s="124">
        <f t="shared" si="81"/>
      </c>
      <c r="BO74" s="124">
        <f t="shared" si="82"/>
        <v>0</v>
      </c>
      <c r="BP74" s="124">
        <f t="shared" si="12"/>
      </c>
      <c r="BQ74" s="33"/>
      <c r="BR74" s="33"/>
      <c r="BS74" s="33"/>
      <c r="BT74" s="33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4"/>
      <c r="CH74" s="34"/>
      <c r="CI74" s="34"/>
      <c r="CJ74" s="34"/>
      <c r="CK74" s="183">
        <f t="shared" si="154"/>
        <v>13</v>
      </c>
      <c r="CL74" s="7">
        <f t="shared" si="155"/>
        <v>12</v>
      </c>
      <c r="CM74" s="20">
        <f t="shared" si="156"/>
        <v>149</v>
      </c>
      <c r="CN74" s="382">
        <f t="shared" si="83"/>
        <v>58792</v>
      </c>
      <c r="CO74" s="185">
        <f t="shared" si="84"/>
        <v>12</v>
      </c>
      <c r="CP74" s="2">
        <f t="shared" si="138"/>
        <v>17</v>
      </c>
      <c r="CQ74" s="382">
        <f t="shared" si="85"/>
        <v>58788</v>
      </c>
      <c r="CR74" s="185">
        <f t="shared" si="135"/>
        <v>12</v>
      </c>
      <c r="CS74" s="2">
        <f t="shared" si="136"/>
        <v>13</v>
      </c>
      <c r="CT74" s="2" t="str">
        <f t="shared" si="139"/>
        <v>初任</v>
      </c>
      <c r="CU74" s="382">
        <f t="shared" si="87"/>
        <v>58788</v>
      </c>
      <c r="CV74" s="2">
        <f t="shared" si="140"/>
        <v>12</v>
      </c>
      <c r="CW74" s="2" t="str">
        <f t="shared" si="141"/>
        <v>生日</v>
      </c>
      <c r="CX74" s="382">
        <f t="shared" si="90"/>
        <v>58792</v>
      </c>
      <c r="CY74" s="2">
        <f t="shared" si="142"/>
        <v>12</v>
      </c>
      <c r="CZ74" s="2">
        <f t="shared" si="157"/>
        <v>0</v>
      </c>
      <c r="DA74" s="2">
        <f t="shared" si="92"/>
      </c>
      <c r="DB74" s="2">
        <f t="shared" si="158"/>
      </c>
      <c r="DC74" s="2">
        <f t="shared" si="93"/>
      </c>
      <c r="DD74" s="2">
        <f t="shared" si="94"/>
      </c>
      <c r="DE74" s="2">
        <f t="shared" si="95"/>
      </c>
      <c r="DF74" s="2">
        <f t="shared" si="24"/>
      </c>
      <c r="DG74" s="129">
        <f t="shared" si="25"/>
      </c>
      <c r="DH74" s="2">
        <f t="shared" si="159"/>
      </c>
      <c r="DI74" s="2">
        <f t="shared" si="96"/>
      </c>
      <c r="DJ74" s="129">
        <f t="shared" si="97"/>
      </c>
      <c r="DK74" s="2">
        <f t="shared" si="160"/>
      </c>
      <c r="DL74" s="2">
        <f t="shared" si="98"/>
      </c>
      <c r="DM74" s="129">
        <f t="shared" si="99"/>
      </c>
      <c r="DN74" s="2">
        <f t="shared" si="161"/>
      </c>
      <c r="DO74" s="2">
        <f t="shared" si="162"/>
      </c>
      <c r="DP74" s="129">
        <f t="shared" si="100"/>
      </c>
      <c r="DQ74" s="2">
        <f t="shared" si="163"/>
      </c>
      <c r="DR74" s="2">
        <f t="shared" si="164"/>
      </c>
      <c r="DS74" s="129">
        <f t="shared" si="101"/>
      </c>
      <c r="DT74" s="2">
        <f t="shared" si="165"/>
      </c>
      <c r="DU74" s="2">
        <f t="shared" si="166"/>
      </c>
      <c r="DV74" s="129">
        <f t="shared" si="102"/>
      </c>
      <c r="DW74" s="2">
        <f t="shared" si="103"/>
      </c>
      <c r="DX74" s="2">
        <f t="shared" si="104"/>
      </c>
      <c r="DY74" s="129">
        <f t="shared" si="105"/>
      </c>
      <c r="DZ74" s="129"/>
      <c r="EA74" s="21">
        <f t="shared" si="106"/>
      </c>
      <c r="EB74" s="382">
        <f t="shared" si="107"/>
        <v>401769</v>
      </c>
      <c r="EC74" s="382">
        <f t="shared" si="108"/>
        <v>401769</v>
      </c>
      <c r="ED74" s="2">
        <f t="shared" si="184"/>
      </c>
      <c r="EE74" s="382">
        <f t="shared" si="110"/>
        <v>401769</v>
      </c>
      <c r="EF74" s="382">
        <f t="shared" si="185"/>
      </c>
      <c r="EG74" s="382">
        <f t="shared" si="186"/>
      </c>
      <c r="EH74" s="382"/>
      <c r="EI74" s="382">
        <f t="shared" si="187"/>
      </c>
      <c r="EJ74" s="208">
        <f t="shared" si="34"/>
        <v>401769</v>
      </c>
      <c r="EK74" s="2">
        <f t="shared" si="114"/>
      </c>
      <c r="EL74" s="2">
        <f t="shared" si="167"/>
      </c>
      <c r="EM74" s="34"/>
      <c r="EN74" s="7">
        <f t="shared" si="168"/>
        <v>1</v>
      </c>
      <c r="EO74" s="124">
        <f t="shared" si="169"/>
        <v>0</v>
      </c>
      <c r="EP74" s="214" t="str">
        <f t="shared" si="170"/>
        <v>●</v>
      </c>
      <c r="EQ74" s="213" t="str">
        <f t="shared" si="171"/>
        <v>●</v>
      </c>
      <c r="ER74" s="213" t="e">
        <f t="shared" si="172"/>
        <v>#VALUE!</v>
      </c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2"/>
      <c r="FD74" s="20"/>
      <c r="FE74" s="20">
        <f t="shared" si="115"/>
        <v>149</v>
      </c>
      <c r="FF74" s="2">
        <f t="shared" si="116"/>
        <v>1</v>
      </c>
      <c r="FG74" s="2">
        <f t="shared" si="117"/>
        <v>1</v>
      </c>
      <c r="FH74" s="2">
        <f t="shared" si="118"/>
        <v>1</v>
      </c>
      <c r="FI74" s="2">
        <f t="shared" si="119"/>
        <v>1</v>
      </c>
      <c r="FJ74" s="20"/>
      <c r="FK74" s="326">
        <f t="shared" si="120"/>
        <v>0</v>
      </c>
      <c r="FL74" s="326">
        <f t="shared" si="121"/>
        <v>0</v>
      </c>
      <c r="FM74" s="326">
        <f t="shared" si="122"/>
        <v>0</v>
      </c>
      <c r="FN74" s="326">
        <f t="shared" si="123"/>
        <v>0</v>
      </c>
      <c r="FP74" s="326"/>
      <c r="FQ74" s="326"/>
      <c r="FR74" s="326"/>
      <c r="FS74" s="326"/>
      <c r="GF74" s="2">
        <v>65</v>
      </c>
      <c r="GG74" s="2">
        <f t="shared" si="128"/>
        <v>1</v>
      </c>
      <c r="GH74" s="2">
        <f t="shared" si="129"/>
      </c>
      <c r="GI74" s="20">
        <f t="shared" si="130"/>
      </c>
      <c r="GJ74" s="20"/>
      <c r="GK74" s="20">
        <f t="shared" si="131"/>
      </c>
    </row>
    <row r="75" spans="1:193" s="29" customFormat="1" ht="15.75" customHeight="1" hidden="1" thickBot="1" thickTop="1">
      <c r="A75" s="144"/>
      <c r="B75" s="150">
        <f t="shared" si="132"/>
        <v>150</v>
      </c>
      <c r="C75" s="26">
        <f t="shared" si="43"/>
        <v>20611231</v>
      </c>
      <c r="D75" s="26" t="str">
        <f t="shared" si="44"/>
        <v>2061</v>
      </c>
      <c r="E75" s="26" t="str">
        <f t="shared" si="45"/>
        <v>12</v>
      </c>
      <c r="F75" s="26" t="str">
        <f t="shared" si="46"/>
        <v>31</v>
      </c>
      <c r="G75" s="26" t="str">
        <f t="shared" si="47"/>
        <v>2061/12/31</v>
      </c>
      <c r="H75" s="117">
        <f t="shared" si="0"/>
        <v>68</v>
      </c>
      <c r="I75" s="117">
        <f t="shared" si="48"/>
        <v>0</v>
      </c>
      <c r="J75" s="26">
        <f t="shared" si="173"/>
        <v>18</v>
      </c>
      <c r="K75" s="118">
        <f t="shared" si="143"/>
        <v>68</v>
      </c>
      <c r="L75" s="118">
        <f t="shared" si="144"/>
        <v>0</v>
      </c>
      <c r="M75" s="118">
        <f t="shared" si="145"/>
        <v>18</v>
      </c>
      <c r="N75" s="609" t="str">
        <f t="shared" si="175"/>
        <v>150.1.1~150.12.31</v>
      </c>
      <c r="O75" s="610"/>
      <c r="P75" s="610"/>
      <c r="Q75" s="611"/>
      <c r="R75" s="292" t="str">
        <f t="shared" si="134"/>
        <v>65</v>
      </c>
      <c r="S75" s="338">
        <f t="shared" si="49"/>
        <v>88</v>
      </c>
      <c r="T75" s="339">
        <f t="shared" si="50"/>
        <v>68</v>
      </c>
      <c r="U75" s="204">
        <f t="shared" si="51"/>
        <v>156</v>
      </c>
      <c r="V75" s="149"/>
      <c r="W75" s="613">
        <f t="shared" si="176"/>
      </c>
      <c r="X75" s="614"/>
      <c r="Y75" s="614"/>
      <c r="Z75" s="615"/>
      <c r="AA75" s="262">
        <f t="shared" si="54"/>
      </c>
      <c r="AB75" s="318">
        <f t="shared" si="55"/>
      </c>
      <c r="AC75" s="318">
        <f t="shared" si="56"/>
      </c>
      <c r="AD75" s="220">
        <f t="shared" si="57"/>
      </c>
      <c r="AE75" s="262">
        <f t="shared" si="58"/>
      </c>
      <c r="AF75" s="231">
        <f t="shared" si="59"/>
      </c>
      <c r="AG75" s="310">
        <f t="shared" si="177"/>
      </c>
      <c r="AH75" s="227">
        <f t="shared" si="178"/>
      </c>
      <c r="AI75" s="320">
        <f t="shared" si="179"/>
      </c>
      <c r="AJ75" s="320">
        <f t="shared" si="180"/>
      </c>
      <c r="AK75" s="320">
        <f t="shared" si="181"/>
      </c>
      <c r="AL75" s="320">
        <f t="shared" si="182"/>
      </c>
      <c r="AM75" s="282">
        <f t="shared" si="183"/>
      </c>
      <c r="AN75" s="103"/>
      <c r="AO75" s="119">
        <f t="shared" si="146"/>
        <v>0</v>
      </c>
      <c r="AP75" s="119">
        <f t="shared" si="67"/>
        <v>1</v>
      </c>
      <c r="AQ75" s="119">
        <f t="shared" si="68"/>
        <v>1</v>
      </c>
      <c r="AR75" s="119">
        <f>IF(OR(AO75+AP75+AQ75+GG75&gt;0,SUM($AO$30:AQ74)+GG74&gt;0),1,0)</f>
        <v>1</v>
      </c>
      <c r="AS75" s="119">
        <f t="shared" si="147"/>
      </c>
      <c r="AT75" s="119" t="str">
        <f t="shared" si="69"/>
        <v>符合「年齡滿65歲、年資滿15年」之屆齡退休擇領月退休金條件</v>
      </c>
      <c r="AU75" s="119">
        <f t="shared" si="70"/>
      </c>
      <c r="AV75" s="380" t="str">
        <f t="shared" si="71"/>
        <v>符合「年齡滿65歲、年資滿15年」之屆齡退休擇領月退休金條件</v>
      </c>
      <c r="AW75" s="120">
        <f t="shared" si="148"/>
        <v>0</v>
      </c>
      <c r="AX75" s="120">
        <f t="shared" si="149"/>
        <v>1</v>
      </c>
      <c r="AY75" s="120" t="str">
        <f t="shared" si="174"/>
        <v>符合</v>
      </c>
      <c r="AZ75" s="120">
        <f t="shared" si="150"/>
        <v>88</v>
      </c>
      <c r="BA75" s="120">
        <f t="shared" si="151"/>
        <v>20611231</v>
      </c>
      <c r="BB75" s="120" t="str">
        <f t="shared" si="152"/>
        <v>150.1.1~150.12.31</v>
      </c>
      <c r="BC75" s="121">
        <f t="shared" si="73"/>
      </c>
      <c r="BD75" s="122">
        <f t="shared" si="74"/>
      </c>
      <c r="BE75" s="122"/>
      <c r="BF75" s="120"/>
      <c r="BG75" s="123">
        <f t="shared" si="75"/>
      </c>
      <c r="BH75" s="31">
        <f t="shared" si="76"/>
        <v>1</v>
      </c>
      <c r="BI75" s="7">
        <f t="shared" si="77"/>
        <v>1</v>
      </c>
      <c r="BJ75" s="7"/>
      <c r="BK75" s="124">
        <f t="shared" si="153"/>
        <v>0</v>
      </c>
      <c r="BL75" s="124">
        <f t="shared" si="79"/>
      </c>
      <c r="BM75" s="124">
        <f t="shared" si="80"/>
        <v>0</v>
      </c>
      <c r="BN75" s="124">
        <f t="shared" si="81"/>
      </c>
      <c r="BO75" s="124">
        <f t="shared" si="82"/>
        <v>0</v>
      </c>
      <c r="BP75" s="124">
        <f t="shared" si="12"/>
      </c>
      <c r="BQ75" s="33"/>
      <c r="BR75" s="33"/>
      <c r="BS75" s="33"/>
      <c r="BT75" s="33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4"/>
      <c r="CH75" s="34"/>
      <c r="CI75" s="34"/>
      <c r="CJ75" s="34"/>
      <c r="CK75" s="183">
        <f t="shared" si="154"/>
        <v>13</v>
      </c>
      <c r="CL75" s="7">
        <f t="shared" si="155"/>
        <v>12</v>
      </c>
      <c r="CM75" s="20">
        <f t="shared" si="156"/>
        <v>150</v>
      </c>
      <c r="CN75" s="382">
        <f t="shared" si="83"/>
        <v>59157</v>
      </c>
      <c r="CO75" s="185">
        <f t="shared" si="84"/>
        <v>12</v>
      </c>
      <c r="CP75" s="2">
        <f t="shared" si="138"/>
        <v>17</v>
      </c>
      <c r="CQ75" s="382">
        <f t="shared" si="85"/>
        <v>59153</v>
      </c>
      <c r="CR75" s="185">
        <f t="shared" si="135"/>
        <v>12</v>
      </c>
      <c r="CS75" s="2">
        <f t="shared" si="136"/>
        <v>13</v>
      </c>
      <c r="CT75" s="2" t="str">
        <f t="shared" si="139"/>
        <v>初任</v>
      </c>
      <c r="CU75" s="382">
        <f t="shared" si="87"/>
        <v>59153</v>
      </c>
      <c r="CV75" s="2">
        <f t="shared" si="140"/>
        <v>12</v>
      </c>
      <c r="CW75" s="2" t="str">
        <f t="shared" si="141"/>
        <v>生日</v>
      </c>
      <c r="CX75" s="382">
        <f t="shared" si="90"/>
        <v>59157</v>
      </c>
      <c r="CY75" s="2">
        <f t="shared" si="142"/>
        <v>12</v>
      </c>
      <c r="CZ75" s="2">
        <f t="shared" si="157"/>
        <v>0</v>
      </c>
      <c r="DA75" s="2">
        <f t="shared" si="92"/>
      </c>
      <c r="DB75" s="2">
        <f t="shared" si="158"/>
      </c>
      <c r="DC75" s="2">
        <f t="shared" si="93"/>
      </c>
      <c r="DD75" s="2">
        <f t="shared" si="94"/>
      </c>
      <c r="DE75" s="2">
        <f t="shared" si="95"/>
      </c>
      <c r="DF75" s="2">
        <f t="shared" si="24"/>
      </c>
      <c r="DG75" s="129">
        <f t="shared" si="25"/>
      </c>
      <c r="DH75" s="2">
        <f t="shared" si="159"/>
      </c>
      <c r="DI75" s="2">
        <f t="shared" si="96"/>
      </c>
      <c r="DJ75" s="129">
        <f t="shared" si="97"/>
      </c>
      <c r="DK75" s="2">
        <f t="shared" si="160"/>
      </c>
      <c r="DL75" s="2">
        <f t="shared" si="98"/>
      </c>
      <c r="DM75" s="129">
        <f t="shared" si="99"/>
      </c>
      <c r="DN75" s="2">
        <f t="shared" si="161"/>
      </c>
      <c r="DO75" s="2">
        <f t="shared" si="162"/>
      </c>
      <c r="DP75" s="129">
        <f t="shared" si="100"/>
      </c>
      <c r="DQ75" s="2">
        <f t="shared" si="163"/>
      </c>
      <c r="DR75" s="2">
        <f t="shared" si="164"/>
      </c>
      <c r="DS75" s="129">
        <f t="shared" si="101"/>
      </c>
      <c r="DT75" s="2">
        <f t="shared" si="165"/>
      </c>
      <c r="DU75" s="2">
        <f t="shared" si="166"/>
      </c>
      <c r="DV75" s="129">
        <f t="shared" si="102"/>
      </c>
      <c r="DW75" s="2">
        <f t="shared" si="103"/>
      </c>
      <c r="DX75" s="2">
        <f t="shared" si="104"/>
      </c>
      <c r="DY75" s="129">
        <f t="shared" si="105"/>
      </c>
      <c r="DZ75" s="129"/>
      <c r="EA75" s="21">
        <f t="shared" si="106"/>
      </c>
      <c r="EB75" s="382">
        <f t="shared" si="107"/>
        <v>401769</v>
      </c>
      <c r="EC75" s="382">
        <f t="shared" si="108"/>
        <v>401769</v>
      </c>
      <c r="ED75" s="2">
        <f t="shared" si="184"/>
      </c>
      <c r="EE75" s="382">
        <f t="shared" si="110"/>
        <v>401769</v>
      </c>
      <c r="EF75" s="382">
        <f t="shared" si="185"/>
      </c>
      <c r="EG75" s="382">
        <f t="shared" si="186"/>
      </c>
      <c r="EH75" s="382"/>
      <c r="EI75" s="382">
        <f t="shared" si="187"/>
      </c>
      <c r="EJ75" s="208">
        <f t="shared" si="34"/>
        <v>401769</v>
      </c>
      <c r="EK75" s="2">
        <f t="shared" si="114"/>
      </c>
      <c r="EL75" s="2">
        <f t="shared" si="167"/>
      </c>
      <c r="EM75" s="34"/>
      <c r="EN75" s="7">
        <f t="shared" si="168"/>
        <v>1</v>
      </c>
      <c r="EO75" s="124">
        <f t="shared" si="169"/>
        <v>0</v>
      </c>
      <c r="EP75" s="214" t="str">
        <f t="shared" si="170"/>
        <v>●</v>
      </c>
      <c r="EQ75" s="213" t="str">
        <f t="shared" si="171"/>
        <v>●</v>
      </c>
      <c r="ER75" s="213" t="e">
        <f t="shared" si="172"/>
        <v>#VALUE!</v>
      </c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2"/>
      <c r="FD75" s="20"/>
      <c r="FE75" s="20">
        <f t="shared" si="115"/>
        <v>150</v>
      </c>
      <c r="FF75" s="2">
        <f t="shared" si="116"/>
        <v>1</v>
      </c>
      <c r="FG75" s="2">
        <f t="shared" si="117"/>
        <v>1</v>
      </c>
      <c r="FH75" s="2">
        <f t="shared" si="118"/>
        <v>1</v>
      </c>
      <c r="FI75" s="2">
        <f t="shared" si="119"/>
        <v>1</v>
      </c>
      <c r="FJ75" s="20"/>
      <c r="FK75" s="326">
        <f t="shared" si="120"/>
        <v>0</v>
      </c>
      <c r="FL75" s="326">
        <f t="shared" si="121"/>
        <v>0</v>
      </c>
      <c r="FM75" s="326">
        <f t="shared" si="122"/>
        <v>0</v>
      </c>
      <c r="FN75" s="326">
        <f t="shared" si="123"/>
        <v>0</v>
      </c>
      <c r="FP75" s="326"/>
      <c r="FQ75" s="326"/>
      <c r="FR75" s="326"/>
      <c r="FS75" s="326"/>
      <c r="GF75" s="2">
        <v>65</v>
      </c>
      <c r="GG75" s="2">
        <f t="shared" si="128"/>
        <v>1</v>
      </c>
      <c r="GH75" s="2">
        <f t="shared" si="129"/>
      </c>
      <c r="GI75" s="20">
        <f t="shared" si="130"/>
      </c>
      <c r="GJ75" s="20"/>
      <c r="GK75" s="20">
        <f t="shared" si="131"/>
      </c>
    </row>
    <row r="76" spans="1:193" s="29" customFormat="1" ht="15.75" customHeight="1" hidden="1" thickBot="1" thickTop="1">
      <c r="A76" s="144"/>
      <c r="B76" s="150">
        <f t="shared" si="132"/>
        <v>151</v>
      </c>
      <c r="C76" s="26">
        <f t="shared" si="43"/>
        <v>20621231</v>
      </c>
      <c r="D76" s="26" t="str">
        <f t="shared" si="44"/>
        <v>2062</v>
      </c>
      <c r="E76" s="26" t="str">
        <f t="shared" si="45"/>
        <v>12</v>
      </c>
      <c r="F76" s="26" t="str">
        <f t="shared" si="46"/>
        <v>31</v>
      </c>
      <c r="G76" s="26" t="str">
        <f t="shared" si="47"/>
        <v>2062/12/31</v>
      </c>
      <c r="H76" s="117">
        <f t="shared" si="0"/>
        <v>69</v>
      </c>
      <c r="I76" s="117">
        <f t="shared" si="48"/>
        <v>0</v>
      </c>
      <c r="J76" s="26">
        <f t="shared" si="173"/>
        <v>18</v>
      </c>
      <c r="K76" s="118">
        <f t="shared" si="143"/>
        <v>69</v>
      </c>
      <c r="L76" s="118">
        <f t="shared" si="144"/>
        <v>0</v>
      </c>
      <c r="M76" s="118">
        <f t="shared" si="145"/>
        <v>18</v>
      </c>
      <c r="N76" s="609" t="str">
        <f t="shared" si="175"/>
        <v>151.1.1~151.12.31</v>
      </c>
      <c r="O76" s="610"/>
      <c r="P76" s="610"/>
      <c r="Q76" s="611"/>
      <c r="R76" s="292" t="str">
        <f t="shared" si="134"/>
        <v>65</v>
      </c>
      <c r="S76" s="338">
        <f t="shared" si="49"/>
        <v>89</v>
      </c>
      <c r="T76" s="339">
        <f t="shared" si="50"/>
        <v>69</v>
      </c>
      <c r="U76" s="204">
        <f t="shared" si="51"/>
        <v>158</v>
      </c>
      <c r="V76" s="149"/>
      <c r="W76" s="613">
        <f t="shared" si="176"/>
      </c>
      <c r="X76" s="614"/>
      <c r="Y76" s="614"/>
      <c r="Z76" s="615"/>
      <c r="AA76" s="262">
        <f t="shared" si="54"/>
      </c>
      <c r="AB76" s="318">
        <f t="shared" si="55"/>
      </c>
      <c r="AC76" s="318">
        <f t="shared" si="56"/>
      </c>
      <c r="AD76" s="220">
        <f t="shared" si="57"/>
      </c>
      <c r="AE76" s="262">
        <f t="shared" si="58"/>
      </c>
      <c r="AF76" s="231">
        <f t="shared" si="59"/>
      </c>
      <c r="AG76" s="310">
        <f t="shared" si="177"/>
      </c>
      <c r="AH76" s="227">
        <f t="shared" si="178"/>
      </c>
      <c r="AI76" s="320">
        <f t="shared" si="179"/>
      </c>
      <c r="AJ76" s="320">
        <f t="shared" si="180"/>
      </c>
      <c r="AK76" s="320">
        <f t="shared" si="181"/>
      </c>
      <c r="AL76" s="320">
        <f t="shared" si="182"/>
      </c>
      <c r="AM76" s="282">
        <f t="shared" si="183"/>
      </c>
      <c r="AN76" s="103"/>
      <c r="AO76" s="119">
        <f t="shared" si="146"/>
        <v>0</v>
      </c>
      <c r="AP76" s="119">
        <f t="shared" si="67"/>
        <v>1</v>
      </c>
      <c r="AQ76" s="119">
        <f t="shared" si="68"/>
        <v>1</v>
      </c>
      <c r="AR76" s="119">
        <f>IF(OR(AO76+AP76+AQ76+GG76&gt;0,SUM($AO$30:AQ75)+GG75&gt;0),1,0)</f>
        <v>1</v>
      </c>
      <c r="AS76" s="119">
        <f t="shared" si="147"/>
      </c>
      <c r="AT76" s="119" t="str">
        <f t="shared" si="69"/>
        <v>符合「年齡滿65歲、年資滿15年」之屆齡退休擇領月退休金條件</v>
      </c>
      <c r="AU76" s="119">
        <f t="shared" si="70"/>
      </c>
      <c r="AV76" s="380" t="str">
        <f t="shared" si="71"/>
        <v>符合「年齡滿65歲、年資滿15年」之屆齡退休擇領月退休金條件</v>
      </c>
      <c r="AW76" s="120">
        <f t="shared" si="148"/>
        <v>0</v>
      </c>
      <c r="AX76" s="120">
        <f t="shared" si="149"/>
        <v>1</v>
      </c>
      <c r="AY76" s="120" t="str">
        <f t="shared" si="174"/>
        <v>符合</v>
      </c>
      <c r="AZ76" s="120">
        <f t="shared" si="150"/>
        <v>89</v>
      </c>
      <c r="BA76" s="120">
        <f t="shared" si="151"/>
        <v>20621231</v>
      </c>
      <c r="BB76" s="120" t="str">
        <f t="shared" si="152"/>
        <v>151.1.1~151.12.31</v>
      </c>
      <c r="BC76" s="121">
        <f t="shared" si="73"/>
      </c>
      <c r="BD76" s="122">
        <f t="shared" si="74"/>
      </c>
      <c r="BE76" s="122"/>
      <c r="BF76" s="120"/>
      <c r="BG76" s="123">
        <f t="shared" si="75"/>
      </c>
      <c r="BH76" s="31">
        <f t="shared" si="76"/>
        <v>1</v>
      </c>
      <c r="BI76" s="7">
        <f t="shared" si="77"/>
        <v>1</v>
      </c>
      <c r="BJ76" s="7"/>
      <c r="BK76" s="124">
        <f t="shared" si="153"/>
        <v>0</v>
      </c>
      <c r="BL76" s="124">
        <f t="shared" si="79"/>
      </c>
      <c r="BM76" s="124">
        <f t="shared" si="80"/>
        <v>0</v>
      </c>
      <c r="BN76" s="124">
        <f t="shared" si="81"/>
      </c>
      <c r="BO76" s="124">
        <f t="shared" si="82"/>
        <v>0</v>
      </c>
      <c r="BP76" s="124">
        <f t="shared" si="12"/>
      </c>
      <c r="BQ76" s="33"/>
      <c r="BR76" s="33"/>
      <c r="BS76" s="33"/>
      <c r="BT76" s="33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4"/>
      <c r="CH76" s="34"/>
      <c r="CI76" s="34"/>
      <c r="CJ76" s="34"/>
      <c r="CK76" s="183">
        <f t="shared" si="154"/>
        <v>13</v>
      </c>
      <c r="CL76" s="7">
        <f t="shared" si="155"/>
        <v>12</v>
      </c>
      <c r="CM76" s="20">
        <f t="shared" si="156"/>
        <v>151</v>
      </c>
      <c r="CN76" s="382">
        <f t="shared" si="83"/>
        <v>59522</v>
      </c>
      <c r="CO76" s="185">
        <f t="shared" si="84"/>
        <v>12</v>
      </c>
      <c r="CP76" s="2">
        <f t="shared" si="138"/>
        <v>17</v>
      </c>
      <c r="CQ76" s="382">
        <f t="shared" si="85"/>
        <v>59518</v>
      </c>
      <c r="CR76" s="185">
        <f t="shared" si="135"/>
        <v>12</v>
      </c>
      <c r="CS76" s="2">
        <f t="shared" si="136"/>
        <v>13</v>
      </c>
      <c r="CT76" s="2" t="str">
        <f t="shared" si="139"/>
        <v>初任</v>
      </c>
      <c r="CU76" s="382">
        <f t="shared" si="87"/>
        <v>59518</v>
      </c>
      <c r="CV76" s="2">
        <f t="shared" si="140"/>
        <v>12</v>
      </c>
      <c r="CW76" s="2" t="str">
        <f t="shared" si="141"/>
        <v>生日</v>
      </c>
      <c r="CX76" s="382">
        <f t="shared" si="90"/>
        <v>59522</v>
      </c>
      <c r="CY76" s="2">
        <f t="shared" si="142"/>
        <v>12</v>
      </c>
      <c r="CZ76" s="2">
        <f t="shared" si="157"/>
        <v>0</v>
      </c>
      <c r="DA76" s="2">
        <f t="shared" si="92"/>
      </c>
      <c r="DB76" s="2">
        <f t="shared" si="158"/>
      </c>
      <c r="DC76" s="2">
        <f t="shared" si="93"/>
      </c>
      <c r="DD76" s="2">
        <f t="shared" si="94"/>
      </c>
      <c r="DE76" s="2">
        <f t="shared" si="95"/>
      </c>
      <c r="DF76" s="2">
        <f t="shared" si="24"/>
      </c>
      <c r="DG76" s="129">
        <f t="shared" si="25"/>
      </c>
      <c r="DH76" s="2">
        <f t="shared" si="159"/>
      </c>
      <c r="DI76" s="2">
        <f t="shared" si="96"/>
      </c>
      <c r="DJ76" s="129">
        <f t="shared" si="97"/>
      </c>
      <c r="DK76" s="2">
        <f t="shared" si="160"/>
      </c>
      <c r="DL76" s="2">
        <f t="shared" si="98"/>
      </c>
      <c r="DM76" s="129">
        <f t="shared" si="99"/>
      </c>
      <c r="DN76" s="2">
        <f t="shared" si="161"/>
      </c>
      <c r="DO76" s="2">
        <f t="shared" si="162"/>
      </c>
      <c r="DP76" s="129">
        <f t="shared" si="100"/>
      </c>
      <c r="DQ76" s="2">
        <f t="shared" si="163"/>
      </c>
      <c r="DR76" s="2">
        <f t="shared" si="164"/>
      </c>
      <c r="DS76" s="129">
        <f t="shared" si="101"/>
      </c>
      <c r="DT76" s="2">
        <f t="shared" si="165"/>
      </c>
      <c r="DU76" s="2">
        <f t="shared" si="166"/>
      </c>
      <c r="DV76" s="129">
        <f t="shared" si="102"/>
      </c>
      <c r="DW76" s="2">
        <f t="shared" si="103"/>
      </c>
      <c r="DX76" s="2">
        <f t="shared" si="104"/>
      </c>
      <c r="DY76" s="129">
        <f t="shared" si="105"/>
      </c>
      <c r="DZ76" s="129"/>
      <c r="EA76" s="21">
        <f t="shared" si="106"/>
      </c>
      <c r="EB76" s="382">
        <f t="shared" si="107"/>
        <v>401769</v>
      </c>
      <c r="EC76" s="382">
        <f t="shared" si="108"/>
        <v>401769</v>
      </c>
      <c r="ED76" s="2">
        <f t="shared" si="184"/>
      </c>
      <c r="EE76" s="382">
        <f t="shared" si="110"/>
        <v>401769</v>
      </c>
      <c r="EF76" s="382">
        <f t="shared" si="185"/>
      </c>
      <c r="EG76" s="382">
        <f t="shared" si="186"/>
      </c>
      <c r="EH76" s="382"/>
      <c r="EI76" s="382">
        <f t="shared" si="187"/>
      </c>
      <c r="EJ76" s="208">
        <f t="shared" si="34"/>
        <v>401769</v>
      </c>
      <c r="EK76" s="2">
        <f t="shared" si="114"/>
      </c>
      <c r="EL76" s="2">
        <f t="shared" si="167"/>
      </c>
      <c r="EM76" s="34"/>
      <c r="EN76" s="7">
        <f t="shared" si="168"/>
        <v>1</v>
      </c>
      <c r="EO76" s="124">
        <f t="shared" si="169"/>
        <v>0</v>
      </c>
      <c r="EP76" s="214" t="str">
        <f t="shared" si="170"/>
        <v>●</v>
      </c>
      <c r="EQ76" s="213" t="str">
        <f t="shared" si="171"/>
        <v>●</v>
      </c>
      <c r="ER76" s="213" t="e">
        <f t="shared" si="172"/>
        <v>#VALUE!</v>
      </c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2"/>
      <c r="FD76" s="20"/>
      <c r="FE76" s="20">
        <f t="shared" si="115"/>
        <v>151</v>
      </c>
      <c r="FF76" s="2">
        <f t="shared" si="116"/>
        <v>1</v>
      </c>
      <c r="FG76" s="2">
        <f t="shared" si="117"/>
        <v>1</v>
      </c>
      <c r="FH76" s="2">
        <f t="shared" si="118"/>
        <v>1</v>
      </c>
      <c r="FI76" s="2">
        <f t="shared" si="119"/>
        <v>1</v>
      </c>
      <c r="FJ76" s="20"/>
      <c r="FK76" s="326">
        <f t="shared" si="120"/>
        <v>0</v>
      </c>
      <c r="FL76" s="326">
        <f t="shared" si="121"/>
        <v>0</v>
      </c>
      <c r="FM76" s="326">
        <f t="shared" si="122"/>
        <v>0</v>
      </c>
      <c r="FN76" s="326">
        <f t="shared" si="123"/>
        <v>0</v>
      </c>
      <c r="FP76" s="326"/>
      <c r="FQ76" s="326"/>
      <c r="FR76" s="326"/>
      <c r="FS76" s="326"/>
      <c r="GF76" s="2">
        <v>65</v>
      </c>
      <c r="GG76" s="2">
        <f t="shared" si="128"/>
        <v>1</v>
      </c>
      <c r="GH76" s="2">
        <f t="shared" si="129"/>
      </c>
      <c r="GI76" s="20">
        <f t="shared" si="130"/>
      </c>
      <c r="GJ76" s="20"/>
      <c r="GK76" s="20">
        <f t="shared" si="131"/>
      </c>
    </row>
    <row r="77" spans="1:193" s="29" customFormat="1" ht="15.75" customHeight="1" hidden="1" thickBot="1" thickTop="1">
      <c r="A77" s="144"/>
      <c r="B77" s="150">
        <f t="shared" si="132"/>
        <v>152</v>
      </c>
      <c r="C77" s="26">
        <f t="shared" si="43"/>
        <v>20631231</v>
      </c>
      <c r="D77" s="26" t="str">
        <f t="shared" si="44"/>
        <v>2063</v>
      </c>
      <c r="E77" s="26" t="str">
        <f t="shared" si="45"/>
        <v>12</v>
      </c>
      <c r="F77" s="26" t="str">
        <f t="shared" si="46"/>
        <v>31</v>
      </c>
      <c r="G77" s="26" t="str">
        <f t="shared" si="47"/>
        <v>2063/12/31</v>
      </c>
      <c r="H77" s="117">
        <f t="shared" si="0"/>
        <v>70</v>
      </c>
      <c r="I77" s="117">
        <f t="shared" si="48"/>
        <v>0</v>
      </c>
      <c r="J77" s="26">
        <f t="shared" si="173"/>
        <v>18</v>
      </c>
      <c r="K77" s="118">
        <f t="shared" si="143"/>
        <v>70</v>
      </c>
      <c r="L77" s="118">
        <f t="shared" si="144"/>
        <v>0</v>
      </c>
      <c r="M77" s="118">
        <f t="shared" si="145"/>
        <v>18</v>
      </c>
      <c r="N77" s="609" t="str">
        <f t="shared" si="175"/>
        <v>152.1.1~152.12.31</v>
      </c>
      <c r="O77" s="610"/>
      <c r="P77" s="610"/>
      <c r="Q77" s="611"/>
      <c r="R77" s="292" t="str">
        <f t="shared" si="134"/>
        <v>65</v>
      </c>
      <c r="S77" s="338">
        <f t="shared" si="49"/>
        <v>90</v>
      </c>
      <c r="T77" s="339">
        <f t="shared" si="50"/>
        <v>70</v>
      </c>
      <c r="U77" s="204">
        <f t="shared" si="51"/>
        <v>160</v>
      </c>
      <c r="V77" s="149"/>
      <c r="W77" s="613">
        <f t="shared" si="176"/>
      </c>
      <c r="X77" s="614"/>
      <c r="Y77" s="614"/>
      <c r="Z77" s="615"/>
      <c r="AA77" s="262">
        <f t="shared" si="54"/>
      </c>
      <c r="AB77" s="318">
        <f t="shared" si="55"/>
      </c>
      <c r="AC77" s="318">
        <f t="shared" si="56"/>
      </c>
      <c r="AD77" s="220">
        <f t="shared" si="57"/>
      </c>
      <c r="AE77" s="262">
        <f t="shared" si="58"/>
      </c>
      <c r="AF77" s="231">
        <f t="shared" si="59"/>
      </c>
      <c r="AG77" s="310">
        <f t="shared" si="177"/>
      </c>
      <c r="AH77" s="227">
        <f t="shared" si="178"/>
      </c>
      <c r="AI77" s="320">
        <f t="shared" si="179"/>
      </c>
      <c r="AJ77" s="320">
        <f t="shared" si="180"/>
      </c>
      <c r="AK77" s="320">
        <f t="shared" si="181"/>
      </c>
      <c r="AL77" s="320">
        <f t="shared" si="182"/>
      </c>
      <c r="AM77" s="282">
        <f t="shared" si="183"/>
      </c>
      <c r="AN77" s="103"/>
      <c r="AO77" s="119">
        <f t="shared" si="146"/>
        <v>0</v>
      </c>
      <c r="AP77" s="119">
        <f t="shared" si="67"/>
        <v>1</v>
      </c>
      <c r="AQ77" s="119">
        <f t="shared" si="68"/>
        <v>1</v>
      </c>
      <c r="AR77" s="119">
        <f>IF(OR(AO77+AP77+AQ77+GG77&gt;0,SUM($AO$30:AQ76)+GG76&gt;0),1,0)</f>
        <v>1</v>
      </c>
      <c r="AS77" s="119">
        <f t="shared" si="147"/>
      </c>
      <c r="AT77" s="119" t="str">
        <f t="shared" si="69"/>
        <v>符合「年齡滿65歲、年資滿15年」之屆齡退休擇領月退休金條件</v>
      </c>
      <c r="AU77" s="119">
        <f t="shared" si="70"/>
      </c>
      <c r="AV77" s="380" t="str">
        <f t="shared" si="71"/>
        <v>符合「年齡滿65歲、年資滿15年」之屆齡退休擇領月退休金條件</v>
      </c>
      <c r="AW77" s="120">
        <f t="shared" si="148"/>
        <v>0</v>
      </c>
      <c r="AX77" s="120">
        <f t="shared" si="149"/>
        <v>1</v>
      </c>
      <c r="AY77" s="120" t="str">
        <f t="shared" si="174"/>
        <v>符合</v>
      </c>
      <c r="AZ77" s="120">
        <f t="shared" si="150"/>
        <v>90</v>
      </c>
      <c r="BA77" s="120">
        <f t="shared" si="151"/>
        <v>20631231</v>
      </c>
      <c r="BB77" s="120" t="str">
        <f t="shared" si="152"/>
        <v>152.1.1~152.12.31</v>
      </c>
      <c r="BC77" s="121">
        <f t="shared" si="73"/>
      </c>
      <c r="BD77" s="122">
        <f t="shared" si="74"/>
      </c>
      <c r="BE77" s="122"/>
      <c r="BF77" s="120"/>
      <c r="BG77" s="123">
        <f t="shared" si="75"/>
      </c>
      <c r="BH77" s="31">
        <f t="shared" si="76"/>
        <v>1</v>
      </c>
      <c r="BI77" s="7">
        <f t="shared" si="77"/>
        <v>1</v>
      </c>
      <c r="BJ77" s="7"/>
      <c r="BK77" s="124">
        <f t="shared" si="153"/>
        <v>0</v>
      </c>
      <c r="BL77" s="124">
        <f t="shared" si="79"/>
      </c>
      <c r="BM77" s="124">
        <f t="shared" si="80"/>
        <v>0</v>
      </c>
      <c r="BN77" s="124">
        <f t="shared" si="81"/>
      </c>
      <c r="BO77" s="124">
        <f t="shared" si="82"/>
        <v>0</v>
      </c>
      <c r="BP77" s="124">
        <f t="shared" si="12"/>
      </c>
      <c r="BQ77" s="33"/>
      <c r="BR77" s="33"/>
      <c r="BS77" s="33"/>
      <c r="BT77" s="33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4"/>
      <c r="CH77" s="34"/>
      <c r="CI77" s="34"/>
      <c r="CJ77" s="34"/>
      <c r="CK77" s="183">
        <f t="shared" si="154"/>
        <v>13</v>
      </c>
      <c r="CL77" s="7">
        <f t="shared" si="155"/>
        <v>12</v>
      </c>
      <c r="CM77" s="20">
        <f t="shared" si="156"/>
        <v>152</v>
      </c>
      <c r="CN77" s="382">
        <f t="shared" si="83"/>
        <v>59887</v>
      </c>
      <c r="CO77" s="185">
        <f t="shared" si="84"/>
        <v>12</v>
      </c>
      <c r="CP77" s="2">
        <f t="shared" si="138"/>
        <v>17</v>
      </c>
      <c r="CQ77" s="382">
        <f t="shared" si="85"/>
        <v>59883</v>
      </c>
      <c r="CR77" s="185">
        <f t="shared" si="135"/>
        <v>12</v>
      </c>
      <c r="CS77" s="2">
        <f t="shared" si="136"/>
        <v>13</v>
      </c>
      <c r="CT77" s="2" t="str">
        <f t="shared" si="139"/>
        <v>初任</v>
      </c>
      <c r="CU77" s="382">
        <f t="shared" si="87"/>
        <v>59883</v>
      </c>
      <c r="CV77" s="2">
        <f t="shared" si="140"/>
        <v>12</v>
      </c>
      <c r="CW77" s="2" t="str">
        <f t="shared" si="141"/>
        <v>生日</v>
      </c>
      <c r="CX77" s="382">
        <f t="shared" si="90"/>
        <v>59887</v>
      </c>
      <c r="CY77" s="2">
        <f t="shared" si="142"/>
        <v>12</v>
      </c>
      <c r="CZ77" s="2">
        <f t="shared" si="157"/>
        <v>0</v>
      </c>
      <c r="DA77" s="2">
        <f t="shared" si="92"/>
      </c>
      <c r="DB77" s="2">
        <f t="shared" si="158"/>
      </c>
      <c r="DC77" s="2">
        <f t="shared" si="93"/>
      </c>
      <c r="DD77" s="2">
        <f t="shared" si="94"/>
      </c>
      <c r="DE77" s="2">
        <f t="shared" si="95"/>
      </c>
      <c r="DF77" s="2">
        <f t="shared" si="24"/>
      </c>
      <c r="DG77" s="129">
        <f t="shared" si="25"/>
      </c>
      <c r="DH77" s="2">
        <f t="shared" si="159"/>
      </c>
      <c r="DI77" s="2">
        <f t="shared" si="96"/>
      </c>
      <c r="DJ77" s="129">
        <f t="shared" si="97"/>
      </c>
      <c r="DK77" s="2">
        <f t="shared" si="160"/>
      </c>
      <c r="DL77" s="2">
        <f t="shared" si="98"/>
      </c>
      <c r="DM77" s="129">
        <f t="shared" si="99"/>
      </c>
      <c r="DN77" s="2">
        <f t="shared" si="161"/>
      </c>
      <c r="DO77" s="2">
        <f t="shared" si="162"/>
      </c>
      <c r="DP77" s="129">
        <f t="shared" si="100"/>
      </c>
      <c r="DQ77" s="2">
        <f t="shared" si="163"/>
      </c>
      <c r="DR77" s="2">
        <f t="shared" si="164"/>
      </c>
      <c r="DS77" s="129">
        <f t="shared" si="101"/>
      </c>
      <c r="DT77" s="2">
        <f t="shared" si="165"/>
      </c>
      <c r="DU77" s="2">
        <f t="shared" si="166"/>
      </c>
      <c r="DV77" s="129">
        <f t="shared" si="102"/>
      </c>
      <c r="DW77" s="2">
        <f t="shared" si="103"/>
      </c>
      <c r="DX77" s="2">
        <f t="shared" si="104"/>
      </c>
      <c r="DY77" s="129">
        <f t="shared" si="105"/>
      </c>
      <c r="DZ77" s="129"/>
      <c r="EA77" s="21">
        <f t="shared" si="106"/>
      </c>
      <c r="EB77" s="382">
        <f t="shared" si="107"/>
        <v>401769</v>
      </c>
      <c r="EC77" s="382">
        <f t="shared" si="108"/>
        <v>401769</v>
      </c>
      <c r="ED77" s="2">
        <f t="shared" si="184"/>
      </c>
      <c r="EE77" s="382">
        <f t="shared" si="110"/>
        <v>401769</v>
      </c>
      <c r="EF77" s="382">
        <f t="shared" si="185"/>
      </c>
      <c r="EG77" s="382">
        <f t="shared" si="186"/>
      </c>
      <c r="EH77" s="382"/>
      <c r="EI77" s="382">
        <f t="shared" si="187"/>
      </c>
      <c r="EJ77" s="208">
        <f t="shared" si="34"/>
        <v>401769</v>
      </c>
      <c r="EK77" s="2">
        <f t="shared" si="114"/>
      </c>
      <c r="EL77" s="2">
        <f t="shared" si="167"/>
      </c>
      <c r="EM77" s="34"/>
      <c r="EN77" s="7">
        <f t="shared" si="168"/>
        <v>1</v>
      </c>
      <c r="EO77" s="124">
        <f t="shared" si="169"/>
        <v>0</v>
      </c>
      <c r="EP77" s="214" t="str">
        <f t="shared" si="170"/>
        <v>●</v>
      </c>
      <c r="EQ77" s="213" t="str">
        <f t="shared" si="171"/>
        <v>●</v>
      </c>
      <c r="ER77" s="213" t="e">
        <f t="shared" si="172"/>
        <v>#VALUE!</v>
      </c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2"/>
      <c r="FD77" s="20"/>
      <c r="FE77" s="20">
        <f t="shared" si="115"/>
        <v>152</v>
      </c>
      <c r="FF77" s="2">
        <f t="shared" si="116"/>
        <v>1</v>
      </c>
      <c r="FG77" s="2">
        <f t="shared" si="117"/>
        <v>1</v>
      </c>
      <c r="FH77" s="2">
        <f t="shared" si="118"/>
        <v>1</v>
      </c>
      <c r="FI77" s="2">
        <f t="shared" si="119"/>
        <v>1</v>
      </c>
      <c r="FJ77" s="20"/>
      <c r="FK77" s="326">
        <f t="shared" si="120"/>
        <v>0</v>
      </c>
      <c r="FL77" s="326">
        <f t="shared" si="121"/>
        <v>0</v>
      </c>
      <c r="FM77" s="326">
        <f t="shared" si="122"/>
        <v>0</v>
      </c>
      <c r="FN77" s="326">
        <f t="shared" si="123"/>
        <v>0</v>
      </c>
      <c r="FP77" s="326"/>
      <c r="FQ77" s="326"/>
      <c r="FR77" s="326"/>
      <c r="FS77" s="326"/>
      <c r="GF77" s="2">
        <v>65</v>
      </c>
      <c r="GG77" s="2">
        <f t="shared" si="128"/>
        <v>1</v>
      </c>
      <c r="GH77" s="2">
        <f t="shared" si="129"/>
      </c>
      <c r="GI77" s="20">
        <f t="shared" si="130"/>
      </c>
      <c r="GJ77" s="20"/>
      <c r="GK77" s="20">
        <f t="shared" si="131"/>
      </c>
    </row>
    <row r="78" spans="1:193" s="29" customFormat="1" ht="15.75" customHeight="1" hidden="1" thickBot="1" thickTop="1">
      <c r="A78" s="144"/>
      <c r="B78" s="150">
        <f t="shared" si="132"/>
        <v>153</v>
      </c>
      <c r="C78" s="26">
        <f t="shared" si="43"/>
        <v>20641231</v>
      </c>
      <c r="D78" s="26" t="str">
        <f t="shared" si="44"/>
        <v>2064</v>
      </c>
      <c r="E78" s="26" t="str">
        <f t="shared" si="45"/>
        <v>12</v>
      </c>
      <c r="F78" s="26" t="str">
        <f t="shared" si="46"/>
        <v>31</v>
      </c>
      <c r="G78" s="26" t="str">
        <f t="shared" si="47"/>
        <v>2064/12/31</v>
      </c>
      <c r="H78" s="117">
        <f t="shared" si="0"/>
        <v>71</v>
      </c>
      <c r="I78" s="117">
        <f t="shared" si="48"/>
        <v>0</v>
      </c>
      <c r="J78" s="26">
        <f t="shared" si="173"/>
        <v>18</v>
      </c>
      <c r="K78" s="118">
        <f t="shared" si="143"/>
        <v>71</v>
      </c>
      <c r="L78" s="118">
        <f t="shared" si="144"/>
        <v>0</v>
      </c>
      <c r="M78" s="118">
        <f t="shared" si="145"/>
        <v>18</v>
      </c>
      <c r="N78" s="609" t="str">
        <f t="shared" si="175"/>
        <v>153.1.1~153.12.31</v>
      </c>
      <c r="O78" s="610"/>
      <c r="P78" s="610"/>
      <c r="Q78" s="611"/>
      <c r="R78" s="292" t="str">
        <f t="shared" si="134"/>
        <v>65</v>
      </c>
      <c r="S78" s="338">
        <f t="shared" si="49"/>
        <v>91</v>
      </c>
      <c r="T78" s="339">
        <f t="shared" si="50"/>
        <v>71</v>
      </c>
      <c r="U78" s="204">
        <f t="shared" si="51"/>
        <v>162</v>
      </c>
      <c r="V78" s="149"/>
      <c r="W78" s="613">
        <f t="shared" si="176"/>
      </c>
      <c r="X78" s="614"/>
      <c r="Y78" s="614"/>
      <c r="Z78" s="615"/>
      <c r="AA78" s="262">
        <f t="shared" si="54"/>
      </c>
      <c r="AB78" s="318">
        <f t="shared" si="55"/>
      </c>
      <c r="AC78" s="318">
        <f t="shared" si="56"/>
      </c>
      <c r="AD78" s="220">
        <f t="shared" si="57"/>
      </c>
      <c r="AE78" s="262">
        <f t="shared" si="58"/>
      </c>
      <c r="AF78" s="231">
        <f t="shared" si="59"/>
      </c>
      <c r="AG78" s="310">
        <f t="shared" si="177"/>
      </c>
      <c r="AH78" s="227">
        <f t="shared" si="178"/>
      </c>
      <c r="AI78" s="320">
        <f t="shared" si="179"/>
      </c>
      <c r="AJ78" s="320">
        <f t="shared" si="180"/>
      </c>
      <c r="AK78" s="320">
        <f t="shared" si="181"/>
      </c>
      <c r="AL78" s="320">
        <f t="shared" si="182"/>
      </c>
      <c r="AM78" s="282">
        <f t="shared" si="183"/>
      </c>
      <c r="AN78" s="103"/>
      <c r="AO78" s="119">
        <f t="shared" si="146"/>
        <v>0</v>
      </c>
      <c r="AP78" s="119">
        <f t="shared" si="67"/>
        <v>1</v>
      </c>
      <c r="AQ78" s="119">
        <f t="shared" si="68"/>
        <v>1</v>
      </c>
      <c r="AR78" s="119">
        <f>IF(OR(AO78+AP78+AQ78+GG78&gt;0,SUM($AO$30:AQ77)+GG77&gt;0),1,0)</f>
        <v>1</v>
      </c>
      <c r="AS78" s="119">
        <f t="shared" si="147"/>
      </c>
      <c r="AT78" s="119" t="str">
        <f t="shared" si="69"/>
        <v>符合「年齡滿65歲、年資滿15年」之屆齡退休擇領月退休金條件</v>
      </c>
      <c r="AU78" s="119">
        <f t="shared" si="70"/>
      </c>
      <c r="AV78" s="380" t="str">
        <f t="shared" si="71"/>
        <v>符合「年齡滿65歲、年資滿15年」之屆齡退休擇領月退休金條件</v>
      </c>
      <c r="AW78" s="120">
        <f t="shared" si="148"/>
        <v>0</v>
      </c>
      <c r="AX78" s="120">
        <f t="shared" si="149"/>
        <v>1</v>
      </c>
      <c r="AY78" s="120" t="str">
        <f t="shared" si="174"/>
        <v>符合</v>
      </c>
      <c r="AZ78" s="120">
        <f t="shared" si="150"/>
        <v>91</v>
      </c>
      <c r="BA78" s="120">
        <f t="shared" si="151"/>
        <v>20641231</v>
      </c>
      <c r="BB78" s="120" t="str">
        <f t="shared" si="152"/>
        <v>153.1.1~153.12.31</v>
      </c>
      <c r="BC78" s="121">
        <f t="shared" si="73"/>
      </c>
      <c r="BD78" s="122">
        <f t="shared" si="74"/>
      </c>
      <c r="BE78" s="122"/>
      <c r="BF78" s="120"/>
      <c r="BG78" s="123">
        <f t="shared" si="75"/>
      </c>
      <c r="BH78" s="31">
        <f t="shared" si="76"/>
        <v>1</v>
      </c>
      <c r="BI78" s="7">
        <f t="shared" si="77"/>
        <v>1</v>
      </c>
      <c r="BJ78" s="7"/>
      <c r="BK78" s="124">
        <f t="shared" si="153"/>
        <v>0</v>
      </c>
      <c r="BL78" s="124">
        <f t="shared" si="79"/>
      </c>
      <c r="BM78" s="124">
        <f t="shared" si="80"/>
        <v>0</v>
      </c>
      <c r="BN78" s="124">
        <f t="shared" si="81"/>
      </c>
      <c r="BO78" s="124">
        <f t="shared" si="82"/>
        <v>0</v>
      </c>
      <c r="BP78" s="124">
        <f t="shared" si="12"/>
      </c>
      <c r="BQ78" s="33"/>
      <c r="BR78" s="33"/>
      <c r="BS78" s="33"/>
      <c r="BT78" s="33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4"/>
      <c r="CH78" s="34"/>
      <c r="CI78" s="34"/>
      <c r="CJ78" s="34"/>
      <c r="CK78" s="183">
        <f t="shared" si="154"/>
        <v>13</v>
      </c>
      <c r="CL78" s="7">
        <f t="shared" si="155"/>
        <v>12</v>
      </c>
      <c r="CM78" s="20">
        <f t="shared" si="156"/>
        <v>153</v>
      </c>
      <c r="CN78" s="382">
        <f t="shared" si="83"/>
        <v>60253</v>
      </c>
      <c r="CO78" s="185">
        <f t="shared" si="84"/>
        <v>12</v>
      </c>
      <c r="CP78" s="2">
        <f t="shared" si="138"/>
        <v>17</v>
      </c>
      <c r="CQ78" s="382">
        <f t="shared" si="85"/>
        <v>60249</v>
      </c>
      <c r="CR78" s="185">
        <f t="shared" si="135"/>
        <v>12</v>
      </c>
      <c r="CS78" s="2">
        <f t="shared" si="136"/>
        <v>13</v>
      </c>
      <c r="CT78" s="2" t="str">
        <f t="shared" si="139"/>
        <v>初任</v>
      </c>
      <c r="CU78" s="382">
        <f t="shared" si="87"/>
        <v>60249</v>
      </c>
      <c r="CV78" s="2">
        <f t="shared" si="140"/>
        <v>12</v>
      </c>
      <c r="CW78" s="2" t="str">
        <f t="shared" si="141"/>
        <v>生日</v>
      </c>
      <c r="CX78" s="382">
        <f t="shared" si="90"/>
        <v>60253</v>
      </c>
      <c r="CY78" s="2">
        <f t="shared" si="142"/>
        <v>12</v>
      </c>
      <c r="CZ78" s="2">
        <f t="shared" si="157"/>
        <v>0</v>
      </c>
      <c r="DA78" s="2">
        <f t="shared" si="92"/>
      </c>
      <c r="DB78" s="2">
        <f t="shared" si="158"/>
      </c>
      <c r="DC78" s="2">
        <f t="shared" si="93"/>
      </c>
      <c r="DD78" s="2">
        <f t="shared" si="94"/>
      </c>
      <c r="DE78" s="2">
        <f t="shared" si="95"/>
      </c>
      <c r="DF78" s="2">
        <f t="shared" si="24"/>
      </c>
      <c r="DG78" s="129">
        <f t="shared" si="25"/>
      </c>
      <c r="DH78" s="2">
        <f t="shared" si="159"/>
      </c>
      <c r="DI78" s="2">
        <f t="shared" si="96"/>
      </c>
      <c r="DJ78" s="129">
        <f t="shared" si="97"/>
      </c>
      <c r="DK78" s="2">
        <f t="shared" si="160"/>
      </c>
      <c r="DL78" s="2">
        <f t="shared" si="98"/>
      </c>
      <c r="DM78" s="129">
        <f t="shared" si="99"/>
      </c>
      <c r="DN78" s="2">
        <f t="shared" si="161"/>
      </c>
      <c r="DO78" s="2">
        <f t="shared" si="162"/>
      </c>
      <c r="DP78" s="129">
        <f t="shared" si="100"/>
      </c>
      <c r="DQ78" s="2">
        <f t="shared" si="163"/>
      </c>
      <c r="DR78" s="2">
        <f t="shared" si="164"/>
      </c>
      <c r="DS78" s="129">
        <f t="shared" si="101"/>
      </c>
      <c r="DT78" s="2">
        <f t="shared" si="165"/>
      </c>
      <c r="DU78" s="2">
        <f t="shared" si="166"/>
      </c>
      <c r="DV78" s="129">
        <f t="shared" si="102"/>
      </c>
      <c r="DW78" s="2">
        <f t="shared" si="103"/>
      </c>
      <c r="DX78" s="2">
        <f t="shared" si="104"/>
      </c>
      <c r="DY78" s="129">
        <f t="shared" si="105"/>
      </c>
      <c r="DZ78" s="129"/>
      <c r="EA78" s="21">
        <f t="shared" si="106"/>
      </c>
      <c r="EB78" s="382">
        <f t="shared" si="107"/>
        <v>401769</v>
      </c>
      <c r="EC78" s="382">
        <f t="shared" si="108"/>
        <v>401769</v>
      </c>
      <c r="ED78" s="2">
        <f t="shared" si="184"/>
      </c>
      <c r="EE78" s="382">
        <f t="shared" si="110"/>
        <v>401769</v>
      </c>
      <c r="EF78" s="382">
        <f t="shared" si="185"/>
      </c>
      <c r="EG78" s="382">
        <f t="shared" si="186"/>
      </c>
      <c r="EH78" s="382"/>
      <c r="EI78" s="382">
        <f t="shared" si="187"/>
      </c>
      <c r="EJ78" s="208">
        <f t="shared" si="34"/>
        <v>401769</v>
      </c>
      <c r="EK78" s="2">
        <f t="shared" si="114"/>
      </c>
      <c r="EL78" s="2">
        <f t="shared" si="167"/>
      </c>
      <c r="EM78" s="34"/>
      <c r="EN78" s="7">
        <f t="shared" si="168"/>
        <v>1</v>
      </c>
      <c r="EO78" s="124">
        <f t="shared" si="169"/>
        <v>0</v>
      </c>
      <c r="EP78" s="214" t="str">
        <f t="shared" si="170"/>
        <v>●</v>
      </c>
      <c r="EQ78" s="213" t="str">
        <f t="shared" si="171"/>
        <v>●</v>
      </c>
      <c r="ER78" s="213" t="e">
        <f t="shared" si="172"/>
        <v>#VALUE!</v>
      </c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2"/>
      <c r="FD78" s="20"/>
      <c r="FE78" s="20">
        <f t="shared" si="115"/>
        <v>153</v>
      </c>
      <c r="FF78" s="2">
        <f t="shared" si="116"/>
        <v>1</v>
      </c>
      <c r="FG78" s="2">
        <f t="shared" si="117"/>
        <v>1</v>
      </c>
      <c r="FH78" s="2">
        <f t="shared" si="118"/>
        <v>1</v>
      </c>
      <c r="FI78" s="2">
        <f t="shared" si="119"/>
        <v>1</v>
      </c>
      <c r="FJ78" s="20"/>
      <c r="FK78" s="326">
        <f t="shared" si="120"/>
        <v>0</v>
      </c>
      <c r="FL78" s="326">
        <f t="shared" si="121"/>
        <v>0</v>
      </c>
      <c r="FM78" s="326">
        <f t="shared" si="122"/>
        <v>0</v>
      </c>
      <c r="FN78" s="326">
        <f t="shared" si="123"/>
        <v>0</v>
      </c>
      <c r="FP78" s="326"/>
      <c r="FQ78" s="326"/>
      <c r="FR78" s="326"/>
      <c r="FS78" s="326"/>
      <c r="GF78" s="2">
        <v>65</v>
      </c>
      <c r="GG78" s="2">
        <f t="shared" si="128"/>
        <v>1</v>
      </c>
      <c r="GH78" s="2">
        <f t="shared" si="129"/>
      </c>
      <c r="GI78" s="20">
        <f t="shared" si="130"/>
      </c>
      <c r="GJ78" s="20"/>
      <c r="GK78" s="20">
        <f t="shared" si="131"/>
      </c>
    </row>
    <row r="79" spans="1:193" s="29" customFormat="1" ht="15.75" customHeight="1" hidden="1" thickBot="1" thickTop="1">
      <c r="A79" s="144"/>
      <c r="B79" s="150">
        <f t="shared" si="132"/>
        <v>154</v>
      </c>
      <c r="C79" s="26">
        <f t="shared" si="43"/>
        <v>20651231</v>
      </c>
      <c r="D79" s="26" t="str">
        <f t="shared" si="44"/>
        <v>2065</v>
      </c>
      <c r="E79" s="26" t="str">
        <f t="shared" si="45"/>
        <v>12</v>
      </c>
      <c r="F79" s="26" t="str">
        <f t="shared" si="46"/>
        <v>31</v>
      </c>
      <c r="G79" s="26" t="str">
        <f t="shared" si="47"/>
        <v>2065/12/31</v>
      </c>
      <c r="H79" s="117">
        <f t="shared" si="0"/>
        <v>72</v>
      </c>
      <c r="I79" s="117">
        <f t="shared" si="48"/>
        <v>0</v>
      </c>
      <c r="J79" s="26">
        <f t="shared" si="173"/>
        <v>18</v>
      </c>
      <c r="K79" s="118">
        <f t="shared" si="143"/>
        <v>72</v>
      </c>
      <c r="L79" s="118">
        <f t="shared" si="144"/>
        <v>0</v>
      </c>
      <c r="M79" s="118">
        <f t="shared" si="145"/>
        <v>18</v>
      </c>
      <c r="N79" s="609" t="str">
        <f t="shared" si="175"/>
        <v>154.1.1~154.12.31</v>
      </c>
      <c r="O79" s="610"/>
      <c r="P79" s="610"/>
      <c r="Q79" s="611"/>
      <c r="R79" s="292" t="str">
        <f t="shared" si="134"/>
        <v>65</v>
      </c>
      <c r="S79" s="338">
        <f t="shared" si="49"/>
        <v>92</v>
      </c>
      <c r="T79" s="339">
        <f t="shared" si="50"/>
        <v>72</v>
      </c>
      <c r="U79" s="204">
        <f t="shared" si="51"/>
        <v>164</v>
      </c>
      <c r="V79" s="149"/>
      <c r="W79" s="613">
        <f t="shared" si="176"/>
      </c>
      <c r="X79" s="614"/>
      <c r="Y79" s="614"/>
      <c r="Z79" s="615"/>
      <c r="AA79" s="262">
        <f t="shared" si="54"/>
      </c>
      <c r="AB79" s="318">
        <f t="shared" si="55"/>
      </c>
      <c r="AC79" s="318">
        <f t="shared" si="56"/>
      </c>
      <c r="AD79" s="220">
        <f t="shared" si="57"/>
      </c>
      <c r="AE79" s="262">
        <f t="shared" si="58"/>
      </c>
      <c r="AF79" s="231">
        <f t="shared" si="59"/>
      </c>
      <c r="AG79" s="310">
        <f t="shared" si="177"/>
      </c>
      <c r="AH79" s="227">
        <f t="shared" si="178"/>
      </c>
      <c r="AI79" s="320">
        <f t="shared" si="179"/>
      </c>
      <c r="AJ79" s="320">
        <f t="shared" si="180"/>
      </c>
      <c r="AK79" s="320">
        <f t="shared" si="181"/>
      </c>
      <c r="AL79" s="320">
        <f t="shared" si="182"/>
      </c>
      <c r="AM79" s="282">
        <f t="shared" si="183"/>
      </c>
      <c r="AN79" s="103"/>
      <c r="AO79" s="119">
        <f t="shared" si="146"/>
        <v>0</v>
      </c>
      <c r="AP79" s="119">
        <f t="shared" si="67"/>
        <v>1</v>
      </c>
      <c r="AQ79" s="119">
        <f t="shared" si="68"/>
        <v>1</v>
      </c>
      <c r="AR79" s="119">
        <f>IF(OR(AO79+AP79+AQ79+GG79&gt;0,SUM($AO$30:AQ78)+GG78&gt;0),1,0)</f>
        <v>1</v>
      </c>
      <c r="AS79" s="119">
        <f t="shared" si="147"/>
      </c>
      <c r="AT79" s="119" t="str">
        <f t="shared" si="69"/>
        <v>符合「年齡滿65歲、年資滿15年」之屆齡退休擇領月退休金條件</v>
      </c>
      <c r="AU79" s="119">
        <f t="shared" si="70"/>
      </c>
      <c r="AV79" s="380" t="str">
        <f t="shared" si="71"/>
        <v>符合「年齡滿65歲、年資滿15年」之屆齡退休擇領月退休金條件</v>
      </c>
      <c r="AW79" s="120">
        <f t="shared" si="148"/>
        <v>0</v>
      </c>
      <c r="AX79" s="120">
        <f t="shared" si="149"/>
        <v>1</v>
      </c>
      <c r="AY79" s="120" t="str">
        <f t="shared" si="174"/>
        <v>符合</v>
      </c>
      <c r="AZ79" s="120">
        <f t="shared" si="150"/>
        <v>92</v>
      </c>
      <c r="BA79" s="120">
        <f t="shared" si="151"/>
        <v>20651231</v>
      </c>
      <c r="BB79" s="120" t="str">
        <f t="shared" si="152"/>
        <v>154.1.1~154.12.31</v>
      </c>
      <c r="BC79" s="121">
        <f t="shared" si="73"/>
      </c>
      <c r="BD79" s="122">
        <f t="shared" si="74"/>
      </c>
      <c r="BE79" s="122"/>
      <c r="BF79" s="120"/>
      <c r="BG79" s="123">
        <f t="shared" si="75"/>
      </c>
      <c r="BH79" s="31">
        <f t="shared" si="76"/>
        <v>1</v>
      </c>
      <c r="BI79" s="7">
        <f t="shared" si="77"/>
        <v>1</v>
      </c>
      <c r="BJ79" s="7"/>
      <c r="BK79" s="124">
        <f t="shared" si="153"/>
        <v>0</v>
      </c>
      <c r="BL79" s="124">
        <f t="shared" si="79"/>
      </c>
      <c r="BM79" s="124">
        <f t="shared" si="80"/>
        <v>0</v>
      </c>
      <c r="BN79" s="124">
        <f t="shared" si="81"/>
      </c>
      <c r="BO79" s="124">
        <f t="shared" si="82"/>
        <v>0</v>
      </c>
      <c r="BP79" s="124">
        <f t="shared" si="12"/>
      </c>
      <c r="BQ79" s="33"/>
      <c r="BR79" s="33"/>
      <c r="BS79" s="33"/>
      <c r="BT79" s="33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4"/>
      <c r="CH79" s="34"/>
      <c r="CI79" s="34"/>
      <c r="CJ79" s="34"/>
      <c r="CK79" s="183">
        <f t="shared" si="154"/>
        <v>13</v>
      </c>
      <c r="CL79" s="7">
        <f t="shared" si="155"/>
        <v>12</v>
      </c>
      <c r="CM79" s="20">
        <f t="shared" si="156"/>
        <v>154</v>
      </c>
      <c r="CN79" s="382">
        <f t="shared" si="83"/>
        <v>60618</v>
      </c>
      <c r="CO79" s="185">
        <f t="shared" si="84"/>
        <v>12</v>
      </c>
      <c r="CP79" s="2">
        <f t="shared" si="138"/>
        <v>17</v>
      </c>
      <c r="CQ79" s="382">
        <f t="shared" si="85"/>
        <v>60614</v>
      </c>
      <c r="CR79" s="185">
        <f t="shared" si="135"/>
        <v>12</v>
      </c>
      <c r="CS79" s="2">
        <f t="shared" si="136"/>
        <v>13</v>
      </c>
      <c r="CT79" s="2" t="str">
        <f t="shared" si="139"/>
        <v>初任</v>
      </c>
      <c r="CU79" s="382">
        <f t="shared" si="87"/>
        <v>60614</v>
      </c>
      <c r="CV79" s="2">
        <f t="shared" si="140"/>
        <v>12</v>
      </c>
      <c r="CW79" s="2" t="str">
        <f t="shared" si="141"/>
        <v>生日</v>
      </c>
      <c r="CX79" s="382">
        <f t="shared" si="90"/>
        <v>60618</v>
      </c>
      <c r="CY79" s="2">
        <f t="shared" si="142"/>
        <v>12</v>
      </c>
      <c r="CZ79" s="2">
        <f t="shared" si="157"/>
        <v>0</v>
      </c>
      <c r="DA79" s="2">
        <f t="shared" si="92"/>
      </c>
      <c r="DB79" s="2">
        <f t="shared" si="158"/>
      </c>
      <c r="DC79" s="2">
        <f t="shared" si="93"/>
      </c>
      <c r="DD79" s="2">
        <f t="shared" si="94"/>
      </c>
      <c r="DE79" s="2">
        <f t="shared" si="95"/>
      </c>
      <c r="DF79" s="2">
        <f t="shared" si="24"/>
      </c>
      <c r="DG79" s="129">
        <f t="shared" si="25"/>
      </c>
      <c r="DH79" s="2">
        <f t="shared" si="159"/>
      </c>
      <c r="DI79" s="2">
        <f t="shared" si="96"/>
      </c>
      <c r="DJ79" s="129">
        <f t="shared" si="97"/>
      </c>
      <c r="DK79" s="2">
        <f t="shared" si="160"/>
      </c>
      <c r="DL79" s="2">
        <f t="shared" si="98"/>
      </c>
      <c r="DM79" s="129">
        <f t="shared" si="99"/>
      </c>
      <c r="DN79" s="2">
        <f t="shared" si="161"/>
      </c>
      <c r="DO79" s="2">
        <f t="shared" si="162"/>
      </c>
      <c r="DP79" s="129">
        <f t="shared" si="100"/>
      </c>
      <c r="DQ79" s="2">
        <f t="shared" si="163"/>
      </c>
      <c r="DR79" s="2">
        <f t="shared" si="164"/>
      </c>
      <c r="DS79" s="129">
        <f t="shared" si="101"/>
      </c>
      <c r="DT79" s="2">
        <f t="shared" si="165"/>
      </c>
      <c r="DU79" s="2">
        <f t="shared" si="166"/>
      </c>
      <c r="DV79" s="129">
        <f t="shared" si="102"/>
      </c>
      <c r="DW79" s="2">
        <f t="shared" si="103"/>
      </c>
      <c r="DX79" s="2">
        <f t="shared" si="104"/>
      </c>
      <c r="DY79" s="129">
        <f t="shared" si="105"/>
      </c>
      <c r="DZ79" s="129"/>
      <c r="EA79" s="21">
        <f t="shared" si="106"/>
      </c>
      <c r="EB79" s="382">
        <f t="shared" si="107"/>
        <v>401769</v>
      </c>
      <c r="EC79" s="382">
        <f t="shared" si="108"/>
        <v>401769</v>
      </c>
      <c r="ED79" s="2">
        <f t="shared" si="184"/>
      </c>
      <c r="EE79" s="382">
        <f t="shared" si="110"/>
        <v>401769</v>
      </c>
      <c r="EF79" s="382">
        <f t="shared" si="185"/>
      </c>
      <c r="EG79" s="382">
        <f t="shared" si="186"/>
      </c>
      <c r="EH79" s="382"/>
      <c r="EI79" s="382">
        <f t="shared" si="187"/>
      </c>
      <c r="EJ79" s="208">
        <f t="shared" si="34"/>
        <v>401769</v>
      </c>
      <c r="EK79" s="2">
        <f t="shared" si="114"/>
      </c>
      <c r="EL79" s="2">
        <f t="shared" si="167"/>
      </c>
      <c r="EM79" s="34"/>
      <c r="EN79" s="7">
        <f t="shared" si="168"/>
        <v>1</v>
      </c>
      <c r="EO79" s="124">
        <f t="shared" si="169"/>
        <v>0</v>
      </c>
      <c r="EP79" s="214" t="str">
        <f t="shared" si="170"/>
        <v>●</v>
      </c>
      <c r="EQ79" s="213" t="str">
        <f t="shared" si="171"/>
        <v>●</v>
      </c>
      <c r="ER79" s="213" t="e">
        <f t="shared" si="172"/>
        <v>#VALUE!</v>
      </c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2"/>
      <c r="FD79" s="20"/>
      <c r="FE79" s="20">
        <f t="shared" si="115"/>
        <v>154</v>
      </c>
      <c r="FF79" s="2">
        <f t="shared" si="116"/>
        <v>1</v>
      </c>
      <c r="FG79" s="2">
        <f t="shared" si="117"/>
        <v>1</v>
      </c>
      <c r="FH79" s="2">
        <f t="shared" si="118"/>
        <v>1</v>
      </c>
      <c r="FI79" s="2">
        <f t="shared" si="119"/>
        <v>1</v>
      </c>
      <c r="FJ79" s="20"/>
      <c r="FK79" s="326">
        <f t="shared" si="120"/>
        <v>0</v>
      </c>
      <c r="FL79" s="326">
        <f t="shared" si="121"/>
        <v>0</v>
      </c>
      <c r="FM79" s="326">
        <f t="shared" si="122"/>
        <v>0</v>
      </c>
      <c r="FN79" s="326">
        <f t="shared" si="123"/>
        <v>0</v>
      </c>
      <c r="FP79" s="326"/>
      <c r="FQ79" s="326"/>
      <c r="FR79" s="326"/>
      <c r="FS79" s="326"/>
      <c r="GF79" s="2">
        <v>65</v>
      </c>
      <c r="GG79" s="2">
        <f t="shared" si="128"/>
        <v>1</v>
      </c>
      <c r="GH79" s="2">
        <f t="shared" si="129"/>
      </c>
      <c r="GI79" s="20">
        <f t="shared" si="130"/>
      </c>
      <c r="GJ79" s="20"/>
      <c r="GK79" s="20">
        <f t="shared" si="131"/>
      </c>
    </row>
    <row r="80" spans="1:193" s="29" customFormat="1" ht="15.75" customHeight="1" hidden="1" thickBot="1" thickTop="1">
      <c r="A80" s="144"/>
      <c r="B80" s="150">
        <f t="shared" si="132"/>
        <v>155</v>
      </c>
      <c r="C80" s="26">
        <f t="shared" si="43"/>
        <v>20661231</v>
      </c>
      <c r="D80" s="26" t="str">
        <f t="shared" si="44"/>
        <v>2066</v>
      </c>
      <c r="E80" s="26" t="str">
        <f t="shared" si="45"/>
        <v>12</v>
      </c>
      <c r="F80" s="26" t="str">
        <f t="shared" si="46"/>
        <v>31</v>
      </c>
      <c r="G80" s="26" t="str">
        <f t="shared" si="47"/>
        <v>2066/12/31</v>
      </c>
      <c r="H80" s="117">
        <f t="shared" si="0"/>
        <v>73</v>
      </c>
      <c r="I80" s="117">
        <f t="shared" si="48"/>
        <v>0</v>
      </c>
      <c r="J80" s="26">
        <f t="shared" si="173"/>
        <v>18</v>
      </c>
      <c r="K80" s="118">
        <f t="shared" si="143"/>
        <v>73</v>
      </c>
      <c r="L80" s="118">
        <f t="shared" si="144"/>
        <v>0</v>
      </c>
      <c r="M80" s="118">
        <f t="shared" si="145"/>
        <v>18</v>
      </c>
      <c r="N80" s="609" t="str">
        <f t="shared" si="175"/>
        <v>155.1.1~155.12.31</v>
      </c>
      <c r="O80" s="610"/>
      <c r="P80" s="610"/>
      <c r="Q80" s="611"/>
      <c r="R80" s="292" t="str">
        <f t="shared" si="134"/>
        <v>65</v>
      </c>
      <c r="S80" s="338">
        <f t="shared" si="49"/>
        <v>93</v>
      </c>
      <c r="T80" s="339">
        <f t="shared" si="50"/>
        <v>73</v>
      </c>
      <c r="U80" s="204">
        <f t="shared" si="51"/>
        <v>166</v>
      </c>
      <c r="V80" s="149"/>
      <c r="W80" s="613">
        <f t="shared" si="176"/>
      </c>
      <c r="X80" s="614"/>
      <c r="Y80" s="614"/>
      <c r="Z80" s="615"/>
      <c r="AA80" s="262">
        <f t="shared" si="54"/>
      </c>
      <c r="AB80" s="318">
        <f t="shared" si="55"/>
      </c>
      <c r="AC80" s="318">
        <f t="shared" si="56"/>
      </c>
      <c r="AD80" s="220">
        <f t="shared" si="57"/>
      </c>
      <c r="AE80" s="262">
        <f t="shared" si="58"/>
      </c>
      <c r="AF80" s="231">
        <f t="shared" si="59"/>
      </c>
      <c r="AG80" s="310">
        <f t="shared" si="177"/>
      </c>
      <c r="AH80" s="227">
        <f t="shared" si="178"/>
      </c>
      <c r="AI80" s="320">
        <f t="shared" si="179"/>
      </c>
      <c r="AJ80" s="320">
        <f t="shared" si="180"/>
      </c>
      <c r="AK80" s="320">
        <f t="shared" si="181"/>
      </c>
      <c r="AL80" s="320">
        <f t="shared" si="182"/>
      </c>
      <c r="AM80" s="282">
        <f t="shared" si="183"/>
      </c>
      <c r="AN80" s="103"/>
      <c r="AO80" s="119">
        <f t="shared" si="146"/>
        <v>0</v>
      </c>
      <c r="AP80" s="119">
        <f t="shared" si="67"/>
        <v>1</v>
      </c>
      <c r="AQ80" s="119">
        <f t="shared" si="68"/>
        <v>1</v>
      </c>
      <c r="AR80" s="119">
        <f>IF(OR(AO80+AP80+AQ80+GG80&gt;0,SUM($AO$30:AQ79)+GG79&gt;0),1,0)</f>
        <v>1</v>
      </c>
      <c r="AS80" s="119">
        <f t="shared" si="147"/>
      </c>
      <c r="AT80" s="119" t="str">
        <f t="shared" si="69"/>
        <v>符合「年齡滿65歲、年資滿15年」之屆齡退休擇領月退休金條件</v>
      </c>
      <c r="AU80" s="119">
        <f t="shared" si="70"/>
      </c>
      <c r="AV80" s="380" t="str">
        <f t="shared" si="71"/>
        <v>符合「年齡滿65歲、年資滿15年」之屆齡退休擇領月退休金條件</v>
      </c>
      <c r="AW80" s="120">
        <f t="shared" si="148"/>
        <v>0</v>
      </c>
      <c r="AX80" s="120">
        <f t="shared" si="149"/>
        <v>1</v>
      </c>
      <c r="AY80" s="120" t="str">
        <f t="shared" si="174"/>
        <v>符合</v>
      </c>
      <c r="AZ80" s="120">
        <f t="shared" si="150"/>
        <v>93</v>
      </c>
      <c r="BA80" s="120">
        <f t="shared" si="151"/>
        <v>20661231</v>
      </c>
      <c r="BB80" s="120" t="str">
        <f t="shared" si="152"/>
        <v>155.1.1~155.12.31</v>
      </c>
      <c r="BC80" s="121">
        <f t="shared" si="73"/>
      </c>
      <c r="BD80" s="122">
        <f t="shared" si="74"/>
      </c>
      <c r="BE80" s="122"/>
      <c r="BF80" s="120"/>
      <c r="BG80" s="123">
        <f t="shared" si="75"/>
      </c>
      <c r="BH80" s="31">
        <f t="shared" si="76"/>
        <v>1</v>
      </c>
      <c r="BI80" s="7">
        <f t="shared" si="77"/>
        <v>1</v>
      </c>
      <c r="BJ80" s="7"/>
      <c r="BK80" s="124">
        <f t="shared" si="153"/>
        <v>0</v>
      </c>
      <c r="BL80" s="124">
        <f t="shared" si="79"/>
      </c>
      <c r="BM80" s="124">
        <f t="shared" si="80"/>
        <v>0</v>
      </c>
      <c r="BN80" s="124">
        <f t="shared" si="81"/>
      </c>
      <c r="BO80" s="124">
        <f t="shared" si="82"/>
        <v>0</v>
      </c>
      <c r="BP80" s="124">
        <f t="shared" si="12"/>
      </c>
      <c r="BQ80" s="33"/>
      <c r="BR80" s="33"/>
      <c r="BS80" s="33"/>
      <c r="BT80" s="33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4"/>
      <c r="CH80" s="34"/>
      <c r="CI80" s="34"/>
      <c r="CJ80" s="34"/>
      <c r="CK80" s="183">
        <f t="shared" si="154"/>
        <v>13</v>
      </c>
      <c r="CL80" s="7">
        <f t="shared" si="155"/>
        <v>12</v>
      </c>
      <c r="CM80" s="20">
        <f t="shared" si="156"/>
        <v>155</v>
      </c>
      <c r="CN80" s="382">
        <f t="shared" si="83"/>
        <v>60983</v>
      </c>
      <c r="CO80" s="185">
        <f t="shared" si="84"/>
        <v>12</v>
      </c>
      <c r="CP80" s="2">
        <f t="shared" si="138"/>
        <v>17</v>
      </c>
      <c r="CQ80" s="382">
        <f t="shared" si="85"/>
        <v>60979</v>
      </c>
      <c r="CR80" s="185">
        <f t="shared" si="135"/>
        <v>12</v>
      </c>
      <c r="CS80" s="2">
        <f t="shared" si="136"/>
        <v>13</v>
      </c>
      <c r="CT80" s="2" t="str">
        <f t="shared" si="139"/>
        <v>初任</v>
      </c>
      <c r="CU80" s="382">
        <f t="shared" si="87"/>
        <v>60979</v>
      </c>
      <c r="CV80" s="2">
        <f t="shared" si="140"/>
        <v>12</v>
      </c>
      <c r="CW80" s="2" t="str">
        <f t="shared" si="141"/>
        <v>生日</v>
      </c>
      <c r="CX80" s="382">
        <f t="shared" si="90"/>
        <v>60983</v>
      </c>
      <c r="CY80" s="2">
        <f t="shared" si="142"/>
        <v>12</v>
      </c>
      <c r="CZ80" s="2">
        <f t="shared" si="157"/>
        <v>0</v>
      </c>
      <c r="DA80" s="2">
        <f t="shared" si="92"/>
      </c>
      <c r="DB80" s="2">
        <f t="shared" si="158"/>
      </c>
      <c r="DC80" s="2">
        <f t="shared" si="93"/>
      </c>
      <c r="DD80" s="2">
        <f t="shared" si="94"/>
      </c>
      <c r="DE80" s="2">
        <f t="shared" si="95"/>
      </c>
      <c r="DF80" s="2">
        <f t="shared" si="24"/>
      </c>
      <c r="DG80" s="129">
        <f t="shared" si="25"/>
      </c>
      <c r="DH80" s="2">
        <f t="shared" si="159"/>
      </c>
      <c r="DI80" s="2">
        <f t="shared" si="96"/>
      </c>
      <c r="DJ80" s="129">
        <f t="shared" si="97"/>
      </c>
      <c r="DK80" s="2">
        <f t="shared" si="160"/>
      </c>
      <c r="DL80" s="2">
        <f t="shared" si="98"/>
      </c>
      <c r="DM80" s="129">
        <f t="shared" si="99"/>
      </c>
      <c r="DN80" s="2">
        <f t="shared" si="161"/>
      </c>
      <c r="DO80" s="2">
        <f t="shared" si="162"/>
      </c>
      <c r="DP80" s="129">
        <f t="shared" si="100"/>
      </c>
      <c r="DQ80" s="2">
        <f t="shared" si="163"/>
      </c>
      <c r="DR80" s="2">
        <f t="shared" si="164"/>
      </c>
      <c r="DS80" s="129">
        <f t="shared" si="101"/>
      </c>
      <c r="DT80" s="2">
        <f t="shared" si="165"/>
      </c>
      <c r="DU80" s="2">
        <f t="shared" si="166"/>
      </c>
      <c r="DV80" s="129">
        <f t="shared" si="102"/>
      </c>
      <c r="DW80" s="2">
        <f t="shared" si="103"/>
      </c>
      <c r="DX80" s="2">
        <f t="shared" si="104"/>
      </c>
      <c r="DY80" s="129">
        <f t="shared" si="105"/>
      </c>
      <c r="DZ80" s="129"/>
      <c r="EA80" s="21">
        <f t="shared" si="106"/>
      </c>
      <c r="EB80" s="382">
        <f t="shared" si="107"/>
        <v>401769</v>
      </c>
      <c r="EC80" s="382">
        <f t="shared" si="108"/>
        <v>401769</v>
      </c>
      <c r="ED80" s="2">
        <f t="shared" si="184"/>
      </c>
      <c r="EE80" s="382">
        <f t="shared" si="110"/>
        <v>401769</v>
      </c>
      <c r="EF80" s="382">
        <f t="shared" si="185"/>
      </c>
      <c r="EG80" s="382">
        <f t="shared" si="186"/>
      </c>
      <c r="EH80" s="382"/>
      <c r="EI80" s="382">
        <f t="shared" si="187"/>
      </c>
      <c r="EJ80" s="208">
        <f t="shared" si="34"/>
        <v>401769</v>
      </c>
      <c r="EK80" s="2">
        <f t="shared" si="114"/>
      </c>
      <c r="EL80" s="2">
        <f t="shared" si="167"/>
      </c>
      <c r="EM80" s="34"/>
      <c r="EN80" s="7">
        <f t="shared" si="168"/>
        <v>1</v>
      </c>
      <c r="EO80" s="124">
        <f t="shared" si="169"/>
        <v>0</v>
      </c>
      <c r="EP80" s="214" t="str">
        <f t="shared" si="170"/>
        <v>●</v>
      </c>
      <c r="EQ80" s="213" t="str">
        <f t="shared" si="171"/>
        <v>●</v>
      </c>
      <c r="ER80" s="213" t="e">
        <f t="shared" si="172"/>
        <v>#VALUE!</v>
      </c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2"/>
      <c r="FD80" s="20"/>
      <c r="FE80" s="20">
        <f t="shared" si="115"/>
        <v>155</v>
      </c>
      <c r="FF80" s="2">
        <f t="shared" si="116"/>
        <v>1</v>
      </c>
      <c r="FG80" s="2">
        <f t="shared" si="117"/>
        <v>1</v>
      </c>
      <c r="FH80" s="2">
        <f t="shared" si="118"/>
        <v>1</v>
      </c>
      <c r="FI80" s="2">
        <f t="shared" si="119"/>
        <v>1</v>
      </c>
      <c r="FJ80" s="20"/>
      <c r="FK80" s="326">
        <f t="shared" si="120"/>
        <v>0</v>
      </c>
      <c r="FL80" s="326">
        <f t="shared" si="121"/>
        <v>0</v>
      </c>
      <c r="FM80" s="326">
        <f t="shared" si="122"/>
        <v>0</v>
      </c>
      <c r="FN80" s="326">
        <f t="shared" si="123"/>
        <v>0</v>
      </c>
      <c r="FP80" s="326"/>
      <c r="FQ80" s="326"/>
      <c r="FR80" s="326"/>
      <c r="FS80" s="326"/>
      <c r="GF80" s="2">
        <v>65</v>
      </c>
      <c r="GG80" s="2">
        <f t="shared" si="128"/>
        <v>1</v>
      </c>
      <c r="GH80" s="2">
        <f t="shared" si="129"/>
      </c>
      <c r="GI80" s="20">
        <f t="shared" si="130"/>
      </c>
      <c r="GJ80" s="20"/>
      <c r="GK80" s="20">
        <f t="shared" si="131"/>
      </c>
    </row>
    <row r="81" spans="1:193" s="29" customFormat="1" ht="15.75" customHeight="1" hidden="1" thickBot="1" thickTop="1">
      <c r="A81" s="144"/>
      <c r="B81" s="150">
        <f t="shared" si="132"/>
        <v>156</v>
      </c>
      <c r="C81" s="26">
        <f t="shared" si="43"/>
        <v>20671231</v>
      </c>
      <c r="D81" s="26" t="str">
        <f t="shared" si="44"/>
        <v>2067</v>
      </c>
      <c r="E81" s="26" t="str">
        <f t="shared" si="45"/>
        <v>12</v>
      </c>
      <c r="F81" s="26" t="str">
        <f t="shared" si="46"/>
        <v>31</v>
      </c>
      <c r="G81" s="26" t="str">
        <f t="shared" si="47"/>
        <v>2067/12/31</v>
      </c>
      <c r="H81" s="117">
        <f t="shared" si="0"/>
        <v>74</v>
      </c>
      <c r="I81" s="117">
        <f t="shared" si="48"/>
        <v>0</v>
      </c>
      <c r="J81" s="26">
        <f t="shared" si="173"/>
        <v>18</v>
      </c>
      <c r="K81" s="118">
        <f t="shared" si="143"/>
        <v>74</v>
      </c>
      <c r="L81" s="118">
        <f t="shared" si="144"/>
        <v>0</v>
      </c>
      <c r="M81" s="118">
        <f t="shared" si="145"/>
        <v>18</v>
      </c>
      <c r="N81" s="609" t="str">
        <f t="shared" si="175"/>
        <v>156.1.1~156.12.31</v>
      </c>
      <c r="O81" s="610"/>
      <c r="P81" s="610"/>
      <c r="Q81" s="611"/>
      <c r="R81" s="292" t="str">
        <f t="shared" si="134"/>
        <v>65</v>
      </c>
      <c r="S81" s="338">
        <f t="shared" si="49"/>
        <v>94</v>
      </c>
      <c r="T81" s="339">
        <f t="shared" si="50"/>
        <v>74</v>
      </c>
      <c r="U81" s="204">
        <f t="shared" si="51"/>
        <v>168</v>
      </c>
      <c r="V81" s="149"/>
      <c r="W81" s="613">
        <f t="shared" si="176"/>
      </c>
      <c r="X81" s="614"/>
      <c r="Y81" s="614"/>
      <c r="Z81" s="615"/>
      <c r="AA81" s="262">
        <f t="shared" si="54"/>
      </c>
      <c r="AB81" s="318">
        <f t="shared" si="55"/>
      </c>
      <c r="AC81" s="318">
        <f t="shared" si="56"/>
      </c>
      <c r="AD81" s="220">
        <f t="shared" si="57"/>
      </c>
      <c r="AE81" s="262">
        <f t="shared" si="58"/>
      </c>
      <c r="AF81" s="231">
        <f t="shared" si="59"/>
      </c>
      <c r="AG81" s="310">
        <f t="shared" si="177"/>
      </c>
      <c r="AH81" s="227">
        <f t="shared" si="178"/>
      </c>
      <c r="AI81" s="320">
        <f t="shared" si="179"/>
      </c>
      <c r="AJ81" s="320">
        <f t="shared" si="180"/>
      </c>
      <c r="AK81" s="320">
        <f t="shared" si="181"/>
      </c>
      <c r="AL81" s="320">
        <f t="shared" si="182"/>
      </c>
      <c r="AM81" s="282">
        <f t="shared" si="183"/>
      </c>
      <c r="AN81" s="103"/>
      <c r="AO81" s="119">
        <f t="shared" si="146"/>
        <v>0</v>
      </c>
      <c r="AP81" s="119">
        <f t="shared" si="67"/>
        <v>1</v>
      </c>
      <c r="AQ81" s="119">
        <f t="shared" si="68"/>
        <v>1</v>
      </c>
      <c r="AR81" s="119">
        <f>IF(OR(AO81+AP81+AQ81+GG81&gt;0,SUM($AO$30:AQ80)+GG80&gt;0),1,0)</f>
        <v>1</v>
      </c>
      <c r="AS81" s="119">
        <f t="shared" si="147"/>
      </c>
      <c r="AT81" s="119" t="str">
        <f t="shared" si="69"/>
        <v>符合「年齡滿65歲、年資滿15年」之屆齡退休擇領月退休金條件</v>
      </c>
      <c r="AU81" s="119">
        <f t="shared" si="70"/>
      </c>
      <c r="AV81" s="380" t="str">
        <f t="shared" si="71"/>
        <v>符合「年齡滿65歲、年資滿15年」之屆齡退休擇領月退休金條件</v>
      </c>
      <c r="AW81" s="120">
        <f t="shared" si="148"/>
        <v>0</v>
      </c>
      <c r="AX81" s="120">
        <f t="shared" si="149"/>
        <v>1</v>
      </c>
      <c r="AY81" s="120" t="str">
        <f t="shared" si="174"/>
        <v>符合</v>
      </c>
      <c r="AZ81" s="120">
        <f t="shared" si="150"/>
        <v>94</v>
      </c>
      <c r="BA81" s="120">
        <f t="shared" si="151"/>
        <v>20671231</v>
      </c>
      <c r="BB81" s="120" t="str">
        <f t="shared" si="152"/>
        <v>156.1.1~156.12.31</v>
      </c>
      <c r="BC81" s="121">
        <f t="shared" si="73"/>
      </c>
      <c r="BD81" s="122">
        <f t="shared" si="74"/>
      </c>
      <c r="BE81" s="122"/>
      <c r="BF81" s="120"/>
      <c r="BG81" s="123">
        <f t="shared" si="75"/>
      </c>
      <c r="BH81" s="31">
        <f t="shared" si="76"/>
        <v>1</v>
      </c>
      <c r="BI81" s="7">
        <f t="shared" si="77"/>
        <v>1</v>
      </c>
      <c r="BJ81" s="7"/>
      <c r="BK81" s="124">
        <f t="shared" si="153"/>
        <v>0</v>
      </c>
      <c r="BL81" s="124">
        <f t="shared" si="79"/>
      </c>
      <c r="BM81" s="124">
        <f t="shared" si="80"/>
        <v>0</v>
      </c>
      <c r="BN81" s="124">
        <f t="shared" si="81"/>
      </c>
      <c r="BO81" s="124">
        <f t="shared" si="82"/>
        <v>0</v>
      </c>
      <c r="BP81" s="124">
        <f t="shared" si="12"/>
      </c>
      <c r="BQ81" s="33"/>
      <c r="BR81" s="33"/>
      <c r="BS81" s="33"/>
      <c r="BT81" s="33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4"/>
      <c r="CH81" s="34"/>
      <c r="CI81" s="34"/>
      <c r="CJ81" s="34"/>
      <c r="CK81" s="183">
        <f t="shared" si="154"/>
        <v>13</v>
      </c>
      <c r="CL81" s="7">
        <f t="shared" si="155"/>
        <v>12</v>
      </c>
      <c r="CM81" s="20">
        <f t="shared" si="156"/>
        <v>156</v>
      </c>
      <c r="CN81" s="382">
        <f t="shared" si="83"/>
        <v>61348</v>
      </c>
      <c r="CO81" s="185">
        <f t="shared" si="84"/>
        <v>12</v>
      </c>
      <c r="CP81" s="2">
        <f t="shared" si="138"/>
        <v>17</v>
      </c>
      <c r="CQ81" s="382">
        <f t="shared" si="85"/>
        <v>61344</v>
      </c>
      <c r="CR81" s="185">
        <f t="shared" si="135"/>
        <v>12</v>
      </c>
      <c r="CS81" s="2">
        <f t="shared" si="136"/>
        <v>13</v>
      </c>
      <c r="CT81" s="2" t="str">
        <f t="shared" si="139"/>
        <v>初任</v>
      </c>
      <c r="CU81" s="382">
        <f t="shared" si="87"/>
        <v>61344</v>
      </c>
      <c r="CV81" s="2">
        <f t="shared" si="140"/>
        <v>12</v>
      </c>
      <c r="CW81" s="2" t="str">
        <f t="shared" si="141"/>
        <v>生日</v>
      </c>
      <c r="CX81" s="382">
        <f t="shared" si="90"/>
        <v>61348</v>
      </c>
      <c r="CY81" s="2">
        <f t="shared" si="142"/>
        <v>12</v>
      </c>
      <c r="CZ81" s="2">
        <f t="shared" si="157"/>
        <v>0</v>
      </c>
      <c r="DA81" s="2">
        <f t="shared" si="92"/>
      </c>
      <c r="DB81" s="2">
        <f t="shared" si="158"/>
      </c>
      <c r="DC81" s="2">
        <f t="shared" si="93"/>
      </c>
      <c r="DD81" s="2">
        <f t="shared" si="94"/>
      </c>
      <c r="DE81" s="2">
        <f t="shared" si="95"/>
      </c>
      <c r="DF81" s="2">
        <f t="shared" si="24"/>
      </c>
      <c r="DG81" s="129">
        <f t="shared" si="25"/>
      </c>
      <c r="DH81" s="2">
        <f t="shared" si="159"/>
      </c>
      <c r="DI81" s="2">
        <f t="shared" si="96"/>
      </c>
      <c r="DJ81" s="129">
        <f t="shared" si="97"/>
      </c>
      <c r="DK81" s="2">
        <f t="shared" si="160"/>
      </c>
      <c r="DL81" s="2">
        <f t="shared" si="98"/>
      </c>
      <c r="DM81" s="129">
        <f t="shared" si="99"/>
      </c>
      <c r="DN81" s="2">
        <f t="shared" si="161"/>
      </c>
      <c r="DO81" s="2">
        <f t="shared" si="162"/>
      </c>
      <c r="DP81" s="129">
        <f t="shared" si="100"/>
      </c>
      <c r="DQ81" s="2">
        <f t="shared" si="163"/>
      </c>
      <c r="DR81" s="2">
        <f t="shared" si="164"/>
      </c>
      <c r="DS81" s="129">
        <f t="shared" si="101"/>
      </c>
      <c r="DT81" s="2">
        <f t="shared" si="165"/>
      </c>
      <c r="DU81" s="2">
        <f t="shared" si="166"/>
      </c>
      <c r="DV81" s="129">
        <f t="shared" si="102"/>
      </c>
      <c r="DW81" s="2">
        <f t="shared" si="103"/>
      </c>
      <c r="DX81" s="2">
        <f t="shared" si="104"/>
      </c>
      <c r="DY81" s="129">
        <f t="shared" si="105"/>
      </c>
      <c r="DZ81" s="129"/>
      <c r="EA81" s="21">
        <f t="shared" si="106"/>
      </c>
      <c r="EB81" s="382">
        <f t="shared" si="107"/>
        <v>401769</v>
      </c>
      <c r="EC81" s="382">
        <f t="shared" si="108"/>
        <v>401769</v>
      </c>
      <c r="ED81" s="2">
        <f t="shared" si="184"/>
      </c>
      <c r="EE81" s="382">
        <f t="shared" si="110"/>
        <v>401769</v>
      </c>
      <c r="EF81" s="382">
        <f t="shared" si="185"/>
      </c>
      <c r="EG81" s="382">
        <f t="shared" si="186"/>
      </c>
      <c r="EH81" s="382"/>
      <c r="EI81" s="382">
        <f t="shared" si="187"/>
      </c>
      <c r="EJ81" s="208">
        <f t="shared" si="34"/>
        <v>401769</v>
      </c>
      <c r="EK81" s="2">
        <f t="shared" si="114"/>
      </c>
      <c r="EL81" s="2">
        <f t="shared" si="167"/>
      </c>
      <c r="EM81" s="34"/>
      <c r="EN81" s="7">
        <f t="shared" si="168"/>
        <v>1</v>
      </c>
      <c r="EO81" s="124">
        <f t="shared" si="169"/>
        <v>0</v>
      </c>
      <c r="EP81" s="214" t="str">
        <f t="shared" si="170"/>
        <v>●</v>
      </c>
      <c r="EQ81" s="213" t="str">
        <f t="shared" si="171"/>
        <v>●</v>
      </c>
      <c r="ER81" s="213" t="e">
        <f t="shared" si="172"/>
        <v>#VALUE!</v>
      </c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2"/>
      <c r="FD81" s="20"/>
      <c r="FE81" s="20">
        <f t="shared" si="115"/>
        <v>156</v>
      </c>
      <c r="FF81" s="2">
        <f t="shared" si="116"/>
        <v>1</v>
      </c>
      <c r="FG81" s="2">
        <f t="shared" si="117"/>
        <v>1</v>
      </c>
      <c r="FH81" s="2">
        <f t="shared" si="118"/>
        <v>1</v>
      </c>
      <c r="FI81" s="2">
        <f t="shared" si="119"/>
        <v>1</v>
      </c>
      <c r="FJ81" s="20"/>
      <c r="FK81" s="326">
        <f t="shared" si="120"/>
        <v>0</v>
      </c>
      <c r="FL81" s="326">
        <f t="shared" si="121"/>
        <v>0</v>
      </c>
      <c r="FM81" s="326">
        <f t="shared" si="122"/>
        <v>0</v>
      </c>
      <c r="FN81" s="326">
        <f t="shared" si="123"/>
        <v>0</v>
      </c>
      <c r="FP81" s="326"/>
      <c r="FQ81" s="326"/>
      <c r="FR81" s="326"/>
      <c r="FS81" s="326"/>
      <c r="GF81" s="2">
        <v>65</v>
      </c>
      <c r="GG81" s="2">
        <f t="shared" si="128"/>
        <v>1</v>
      </c>
      <c r="GH81" s="2">
        <f t="shared" si="129"/>
      </c>
      <c r="GI81" s="20">
        <f t="shared" si="130"/>
      </c>
      <c r="GJ81" s="20"/>
      <c r="GK81" s="20">
        <f t="shared" si="131"/>
      </c>
    </row>
    <row r="82" spans="1:193" s="29" customFormat="1" ht="15.75" customHeight="1" hidden="1" thickBot="1" thickTop="1">
      <c r="A82" s="144"/>
      <c r="B82" s="150">
        <f t="shared" si="132"/>
        <v>157</v>
      </c>
      <c r="C82" s="26">
        <f t="shared" si="43"/>
        <v>20681231</v>
      </c>
      <c r="D82" s="26" t="str">
        <f t="shared" si="44"/>
        <v>2068</v>
      </c>
      <c r="E82" s="26" t="str">
        <f t="shared" si="45"/>
        <v>12</v>
      </c>
      <c r="F82" s="26" t="str">
        <f t="shared" si="46"/>
        <v>31</v>
      </c>
      <c r="G82" s="26" t="str">
        <f t="shared" si="47"/>
        <v>2068/12/31</v>
      </c>
      <c r="H82" s="117">
        <f t="shared" si="0"/>
        <v>75</v>
      </c>
      <c r="I82" s="117">
        <f t="shared" si="48"/>
        <v>0</v>
      </c>
      <c r="J82" s="26">
        <f t="shared" si="173"/>
        <v>18</v>
      </c>
      <c r="K82" s="118">
        <f t="shared" si="143"/>
        <v>75</v>
      </c>
      <c r="L82" s="118">
        <f t="shared" si="144"/>
        <v>0</v>
      </c>
      <c r="M82" s="118">
        <f t="shared" si="145"/>
        <v>18</v>
      </c>
      <c r="N82" s="609" t="str">
        <f t="shared" si="175"/>
        <v>157.1.1~157.12.31</v>
      </c>
      <c r="O82" s="610"/>
      <c r="P82" s="610"/>
      <c r="Q82" s="611"/>
      <c r="R82" s="292" t="str">
        <f t="shared" si="134"/>
        <v>65</v>
      </c>
      <c r="S82" s="338">
        <f t="shared" si="49"/>
        <v>95</v>
      </c>
      <c r="T82" s="339">
        <f t="shared" si="50"/>
        <v>75</v>
      </c>
      <c r="U82" s="204">
        <f t="shared" si="51"/>
        <v>170</v>
      </c>
      <c r="V82" s="149"/>
      <c r="W82" s="613">
        <f t="shared" si="176"/>
      </c>
      <c r="X82" s="614"/>
      <c r="Y82" s="614"/>
      <c r="Z82" s="615"/>
      <c r="AA82" s="262">
        <f t="shared" si="54"/>
      </c>
      <c r="AB82" s="318">
        <f t="shared" si="55"/>
      </c>
      <c r="AC82" s="318">
        <f t="shared" si="56"/>
      </c>
      <c r="AD82" s="220">
        <f t="shared" si="57"/>
      </c>
      <c r="AE82" s="262">
        <f t="shared" si="58"/>
      </c>
      <c r="AF82" s="231">
        <f t="shared" si="59"/>
      </c>
      <c r="AG82" s="310">
        <f t="shared" si="177"/>
      </c>
      <c r="AH82" s="227">
        <f t="shared" si="178"/>
      </c>
      <c r="AI82" s="320">
        <f t="shared" si="179"/>
      </c>
      <c r="AJ82" s="320">
        <f t="shared" si="180"/>
      </c>
      <c r="AK82" s="320">
        <f t="shared" si="181"/>
      </c>
      <c r="AL82" s="320">
        <f t="shared" si="182"/>
      </c>
      <c r="AM82" s="282">
        <f t="shared" si="183"/>
      </c>
      <c r="AN82" s="103"/>
      <c r="AO82" s="119">
        <f t="shared" si="146"/>
        <v>0</v>
      </c>
      <c r="AP82" s="119">
        <f t="shared" si="67"/>
        <v>1</v>
      </c>
      <c r="AQ82" s="119">
        <f t="shared" si="68"/>
        <v>1</v>
      </c>
      <c r="AR82" s="119">
        <f>IF(OR(AO82+AP82+AQ82+GG82&gt;0,SUM($AO$30:AQ81)+GG81&gt;0),1,0)</f>
        <v>1</v>
      </c>
      <c r="AS82" s="119">
        <f t="shared" si="147"/>
      </c>
      <c r="AT82" s="119" t="str">
        <f t="shared" si="69"/>
        <v>符合「年齡滿65歲、年資滿15年」之屆齡退休擇領月退休金條件</v>
      </c>
      <c r="AU82" s="119">
        <f t="shared" si="70"/>
      </c>
      <c r="AV82" s="380" t="str">
        <f t="shared" si="71"/>
        <v>符合「年齡滿65歲、年資滿15年」之屆齡退休擇領月退休金條件</v>
      </c>
      <c r="AW82" s="120">
        <f t="shared" si="148"/>
        <v>0</v>
      </c>
      <c r="AX82" s="120">
        <f t="shared" si="149"/>
        <v>1</v>
      </c>
      <c r="AY82" s="120" t="str">
        <f t="shared" si="174"/>
        <v>符合</v>
      </c>
      <c r="AZ82" s="120">
        <f t="shared" si="150"/>
        <v>95</v>
      </c>
      <c r="BA82" s="120">
        <f t="shared" si="151"/>
        <v>20681231</v>
      </c>
      <c r="BB82" s="120" t="str">
        <f t="shared" si="152"/>
        <v>157.1.1~157.12.31</v>
      </c>
      <c r="BC82" s="121">
        <f t="shared" si="73"/>
      </c>
      <c r="BD82" s="122">
        <f t="shared" si="74"/>
      </c>
      <c r="BE82" s="122"/>
      <c r="BF82" s="120"/>
      <c r="BG82" s="123">
        <f t="shared" si="75"/>
      </c>
      <c r="BH82" s="31">
        <f t="shared" si="76"/>
        <v>1</v>
      </c>
      <c r="BI82" s="7">
        <f t="shared" si="77"/>
        <v>1</v>
      </c>
      <c r="BJ82" s="7"/>
      <c r="BK82" s="124">
        <f t="shared" si="153"/>
        <v>0</v>
      </c>
      <c r="BL82" s="124">
        <f t="shared" si="79"/>
      </c>
      <c r="BM82" s="124">
        <f t="shared" si="80"/>
        <v>0</v>
      </c>
      <c r="BN82" s="124">
        <f t="shared" si="81"/>
      </c>
      <c r="BO82" s="124">
        <f t="shared" si="82"/>
        <v>0</v>
      </c>
      <c r="BP82" s="124">
        <f t="shared" si="12"/>
      </c>
      <c r="BQ82" s="33"/>
      <c r="BR82" s="33"/>
      <c r="BS82" s="33"/>
      <c r="BT82" s="33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4"/>
      <c r="CH82" s="34"/>
      <c r="CI82" s="34"/>
      <c r="CJ82" s="34"/>
      <c r="CK82" s="183">
        <f t="shared" si="154"/>
        <v>13</v>
      </c>
      <c r="CL82" s="7">
        <f t="shared" si="155"/>
        <v>12</v>
      </c>
      <c r="CM82" s="20">
        <f t="shared" si="156"/>
        <v>157</v>
      </c>
      <c r="CN82" s="382">
        <f t="shared" si="83"/>
        <v>61714</v>
      </c>
      <c r="CO82" s="185">
        <f t="shared" si="84"/>
        <v>12</v>
      </c>
      <c r="CP82" s="2">
        <f t="shared" si="138"/>
        <v>17</v>
      </c>
      <c r="CQ82" s="382">
        <f t="shared" si="85"/>
        <v>61710</v>
      </c>
      <c r="CR82" s="185">
        <f t="shared" si="135"/>
        <v>12</v>
      </c>
      <c r="CS82" s="2">
        <f t="shared" si="136"/>
        <v>13</v>
      </c>
      <c r="CT82" s="2" t="str">
        <f t="shared" si="139"/>
        <v>初任</v>
      </c>
      <c r="CU82" s="382">
        <f t="shared" si="87"/>
        <v>61710</v>
      </c>
      <c r="CV82" s="2">
        <f t="shared" si="140"/>
        <v>12</v>
      </c>
      <c r="CW82" s="2" t="str">
        <f t="shared" si="141"/>
        <v>生日</v>
      </c>
      <c r="CX82" s="382">
        <f t="shared" si="90"/>
        <v>61714</v>
      </c>
      <c r="CY82" s="2">
        <f t="shared" si="142"/>
        <v>12</v>
      </c>
      <c r="CZ82" s="2">
        <f t="shared" si="157"/>
        <v>0</v>
      </c>
      <c r="DA82" s="2">
        <f t="shared" si="92"/>
      </c>
      <c r="DB82" s="2">
        <f t="shared" si="158"/>
      </c>
      <c r="DC82" s="2">
        <f t="shared" si="93"/>
      </c>
      <c r="DD82" s="2">
        <f t="shared" si="94"/>
      </c>
      <c r="DE82" s="2">
        <f t="shared" si="95"/>
      </c>
      <c r="DF82" s="2">
        <f t="shared" si="24"/>
      </c>
      <c r="DG82" s="129">
        <f t="shared" si="25"/>
      </c>
      <c r="DH82" s="2">
        <f t="shared" si="159"/>
      </c>
      <c r="DI82" s="2">
        <f t="shared" si="96"/>
      </c>
      <c r="DJ82" s="129">
        <f t="shared" si="97"/>
      </c>
      <c r="DK82" s="2">
        <f t="shared" si="160"/>
      </c>
      <c r="DL82" s="2">
        <f t="shared" si="98"/>
      </c>
      <c r="DM82" s="129">
        <f t="shared" si="99"/>
      </c>
      <c r="DN82" s="2">
        <f t="shared" si="161"/>
      </c>
      <c r="DO82" s="2">
        <f t="shared" si="162"/>
      </c>
      <c r="DP82" s="129">
        <f t="shared" si="100"/>
      </c>
      <c r="DQ82" s="2">
        <f t="shared" si="163"/>
      </c>
      <c r="DR82" s="2">
        <f t="shared" si="164"/>
      </c>
      <c r="DS82" s="129">
        <f t="shared" si="101"/>
      </c>
      <c r="DT82" s="2">
        <f t="shared" si="165"/>
      </c>
      <c r="DU82" s="2">
        <f t="shared" si="166"/>
      </c>
      <c r="DV82" s="129">
        <f t="shared" si="102"/>
      </c>
      <c r="DW82" s="2">
        <f t="shared" si="103"/>
      </c>
      <c r="DX82" s="2">
        <f t="shared" si="104"/>
      </c>
      <c r="DY82" s="129">
        <f t="shared" si="105"/>
      </c>
      <c r="DZ82" s="129"/>
      <c r="EA82" s="21">
        <f t="shared" si="106"/>
      </c>
      <c r="EB82" s="382">
        <f t="shared" si="107"/>
        <v>401769</v>
      </c>
      <c r="EC82" s="382">
        <f t="shared" si="108"/>
        <v>401769</v>
      </c>
      <c r="ED82" s="2">
        <f t="shared" si="184"/>
      </c>
      <c r="EE82" s="382">
        <f t="shared" si="110"/>
        <v>401769</v>
      </c>
      <c r="EF82" s="382">
        <f t="shared" si="185"/>
      </c>
      <c r="EG82" s="382">
        <f t="shared" si="186"/>
      </c>
      <c r="EH82" s="382"/>
      <c r="EI82" s="382">
        <f t="shared" si="187"/>
      </c>
      <c r="EJ82" s="208">
        <f t="shared" si="34"/>
        <v>401769</v>
      </c>
      <c r="EK82" s="2">
        <f t="shared" si="114"/>
      </c>
      <c r="EL82" s="2">
        <f t="shared" si="167"/>
      </c>
      <c r="EM82" s="34"/>
      <c r="EN82" s="7">
        <f t="shared" si="168"/>
        <v>1</v>
      </c>
      <c r="EO82" s="124">
        <f t="shared" si="169"/>
        <v>0</v>
      </c>
      <c r="EP82" s="214" t="str">
        <f t="shared" si="170"/>
        <v>●</v>
      </c>
      <c r="EQ82" s="213" t="str">
        <f t="shared" si="171"/>
        <v>●</v>
      </c>
      <c r="ER82" s="213" t="e">
        <f t="shared" si="172"/>
        <v>#VALUE!</v>
      </c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2"/>
      <c r="FD82" s="20"/>
      <c r="FE82" s="20">
        <f t="shared" si="115"/>
        <v>157</v>
      </c>
      <c r="FF82" s="2">
        <f t="shared" si="116"/>
        <v>1</v>
      </c>
      <c r="FG82" s="2">
        <f t="shared" si="117"/>
        <v>1</v>
      </c>
      <c r="FH82" s="2">
        <f t="shared" si="118"/>
        <v>1</v>
      </c>
      <c r="FI82" s="2">
        <f t="shared" si="119"/>
        <v>1</v>
      </c>
      <c r="FJ82" s="20"/>
      <c r="FK82" s="326">
        <f t="shared" si="120"/>
        <v>0</v>
      </c>
      <c r="FL82" s="326">
        <f t="shared" si="121"/>
        <v>0</v>
      </c>
      <c r="FM82" s="326">
        <f t="shared" si="122"/>
        <v>0</v>
      </c>
      <c r="FN82" s="326">
        <f t="shared" si="123"/>
        <v>0</v>
      </c>
      <c r="FP82" s="326"/>
      <c r="FQ82" s="326"/>
      <c r="FR82" s="326"/>
      <c r="FS82" s="326"/>
      <c r="GF82" s="2">
        <v>65</v>
      </c>
      <c r="GG82" s="2">
        <f t="shared" si="128"/>
        <v>1</v>
      </c>
      <c r="GH82" s="2">
        <f t="shared" si="129"/>
      </c>
      <c r="GI82" s="20">
        <f t="shared" si="130"/>
      </c>
      <c r="GJ82" s="20"/>
      <c r="GK82" s="20">
        <f t="shared" si="131"/>
      </c>
    </row>
    <row r="83" spans="1:193" s="29" customFormat="1" ht="15.75" customHeight="1" hidden="1" thickBot="1" thickTop="1">
      <c r="A83" s="144"/>
      <c r="B83" s="150">
        <f t="shared" si="132"/>
        <v>158</v>
      </c>
      <c r="C83" s="26">
        <f t="shared" si="43"/>
        <v>20691231</v>
      </c>
      <c r="D83" s="26" t="str">
        <f t="shared" si="44"/>
        <v>2069</v>
      </c>
      <c r="E83" s="26" t="str">
        <f t="shared" si="45"/>
        <v>12</v>
      </c>
      <c r="F83" s="26" t="str">
        <f t="shared" si="46"/>
        <v>31</v>
      </c>
      <c r="G83" s="26" t="str">
        <f t="shared" si="47"/>
        <v>2069/12/31</v>
      </c>
      <c r="H83" s="117">
        <f t="shared" si="0"/>
        <v>76</v>
      </c>
      <c r="I83" s="117">
        <f t="shared" si="48"/>
        <v>0</v>
      </c>
      <c r="J83" s="26">
        <f t="shared" si="173"/>
        <v>18</v>
      </c>
      <c r="K83" s="118">
        <f t="shared" si="143"/>
        <v>76</v>
      </c>
      <c r="L83" s="118">
        <f t="shared" si="144"/>
        <v>0</v>
      </c>
      <c r="M83" s="118">
        <f t="shared" si="145"/>
        <v>18</v>
      </c>
      <c r="N83" s="609" t="str">
        <f t="shared" si="175"/>
        <v>158.1.1~158.12.31</v>
      </c>
      <c r="O83" s="610"/>
      <c r="P83" s="610"/>
      <c r="Q83" s="611"/>
      <c r="R83" s="292" t="str">
        <f t="shared" si="134"/>
        <v>65</v>
      </c>
      <c r="S83" s="338">
        <f t="shared" si="49"/>
        <v>96</v>
      </c>
      <c r="T83" s="339">
        <f t="shared" si="50"/>
        <v>76</v>
      </c>
      <c r="U83" s="204">
        <f t="shared" si="51"/>
        <v>172</v>
      </c>
      <c r="V83" s="149"/>
      <c r="W83" s="613">
        <f t="shared" si="176"/>
      </c>
      <c r="X83" s="614"/>
      <c r="Y83" s="614"/>
      <c r="Z83" s="615"/>
      <c r="AA83" s="262">
        <f t="shared" si="54"/>
      </c>
      <c r="AB83" s="318">
        <f t="shared" si="55"/>
      </c>
      <c r="AC83" s="318">
        <f t="shared" si="56"/>
      </c>
      <c r="AD83" s="220">
        <f t="shared" si="57"/>
      </c>
      <c r="AE83" s="262">
        <f t="shared" si="58"/>
      </c>
      <c r="AF83" s="231">
        <f t="shared" si="59"/>
      </c>
      <c r="AG83" s="310">
        <f t="shared" si="177"/>
      </c>
      <c r="AH83" s="227">
        <f t="shared" si="178"/>
      </c>
      <c r="AI83" s="320">
        <f t="shared" si="179"/>
      </c>
      <c r="AJ83" s="320">
        <f t="shared" si="180"/>
      </c>
      <c r="AK83" s="320">
        <f t="shared" si="181"/>
      </c>
      <c r="AL83" s="320">
        <f t="shared" si="182"/>
      </c>
      <c r="AM83" s="282">
        <f t="shared" si="183"/>
      </c>
      <c r="AN83" s="103"/>
      <c r="AO83" s="119">
        <f t="shared" si="146"/>
        <v>0</v>
      </c>
      <c r="AP83" s="119">
        <f t="shared" si="67"/>
        <v>1</v>
      </c>
      <c r="AQ83" s="119">
        <f t="shared" si="68"/>
        <v>1</v>
      </c>
      <c r="AR83" s="119">
        <f>IF(OR(AO83+AP83+AQ83+GG83&gt;0,SUM($AO$30:AQ82)+GG82&gt;0),1,0)</f>
        <v>1</v>
      </c>
      <c r="AS83" s="119">
        <f t="shared" si="147"/>
      </c>
      <c r="AT83" s="119" t="str">
        <f t="shared" si="69"/>
        <v>符合「年齡滿65歲、年資滿15年」之屆齡退休擇領月退休金條件</v>
      </c>
      <c r="AU83" s="119">
        <f t="shared" si="70"/>
      </c>
      <c r="AV83" s="380" t="str">
        <f t="shared" si="71"/>
        <v>符合「年齡滿65歲、年資滿15年」之屆齡退休擇領月退休金條件</v>
      </c>
      <c r="AW83" s="120">
        <f t="shared" si="148"/>
        <v>0</v>
      </c>
      <c r="AX83" s="120">
        <f t="shared" si="149"/>
        <v>1</v>
      </c>
      <c r="AY83" s="120" t="str">
        <f t="shared" si="174"/>
        <v>符合</v>
      </c>
      <c r="AZ83" s="120">
        <f t="shared" si="150"/>
        <v>96</v>
      </c>
      <c r="BA83" s="120">
        <f t="shared" si="151"/>
        <v>20691231</v>
      </c>
      <c r="BB83" s="120" t="str">
        <f t="shared" si="152"/>
        <v>158.1.1~158.12.31</v>
      </c>
      <c r="BC83" s="121">
        <f t="shared" si="73"/>
      </c>
      <c r="BD83" s="122">
        <f t="shared" si="74"/>
      </c>
      <c r="BE83" s="122"/>
      <c r="BF83" s="120"/>
      <c r="BG83" s="123">
        <f t="shared" si="75"/>
      </c>
      <c r="BH83" s="31">
        <f t="shared" si="76"/>
        <v>1</v>
      </c>
      <c r="BI83" s="7">
        <f t="shared" si="77"/>
        <v>1</v>
      </c>
      <c r="BJ83" s="7"/>
      <c r="BK83" s="124">
        <f t="shared" si="153"/>
        <v>0</v>
      </c>
      <c r="BL83" s="124">
        <f t="shared" si="79"/>
      </c>
      <c r="BM83" s="124">
        <f t="shared" si="80"/>
        <v>0</v>
      </c>
      <c r="BN83" s="124">
        <f t="shared" si="81"/>
      </c>
      <c r="BO83" s="124">
        <f t="shared" si="82"/>
        <v>0</v>
      </c>
      <c r="BP83" s="124">
        <f t="shared" si="12"/>
      </c>
      <c r="BQ83" s="33"/>
      <c r="BR83" s="33"/>
      <c r="BS83" s="33"/>
      <c r="BT83" s="33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4"/>
      <c r="CH83" s="34"/>
      <c r="CI83" s="34"/>
      <c r="CJ83" s="34"/>
      <c r="CK83" s="183">
        <f t="shared" si="154"/>
        <v>13</v>
      </c>
      <c r="CL83" s="7">
        <f t="shared" si="155"/>
        <v>12</v>
      </c>
      <c r="CM83" s="20">
        <f t="shared" si="156"/>
        <v>158</v>
      </c>
      <c r="CN83" s="382">
        <f t="shared" si="83"/>
        <v>62079</v>
      </c>
      <c r="CO83" s="185">
        <f t="shared" si="84"/>
        <v>12</v>
      </c>
      <c r="CP83" s="2">
        <f t="shared" si="138"/>
        <v>17</v>
      </c>
      <c r="CQ83" s="382">
        <f t="shared" si="85"/>
        <v>62075</v>
      </c>
      <c r="CR83" s="185">
        <f t="shared" si="135"/>
        <v>12</v>
      </c>
      <c r="CS83" s="2">
        <f t="shared" si="136"/>
        <v>13</v>
      </c>
      <c r="CT83" s="2" t="str">
        <f t="shared" si="139"/>
        <v>初任</v>
      </c>
      <c r="CU83" s="382">
        <f t="shared" si="87"/>
        <v>62075</v>
      </c>
      <c r="CV83" s="2">
        <f t="shared" si="140"/>
        <v>12</v>
      </c>
      <c r="CW83" s="2" t="str">
        <f t="shared" si="141"/>
        <v>生日</v>
      </c>
      <c r="CX83" s="382">
        <f t="shared" si="90"/>
        <v>62079</v>
      </c>
      <c r="CY83" s="2">
        <f t="shared" si="142"/>
        <v>12</v>
      </c>
      <c r="CZ83" s="2">
        <f t="shared" si="157"/>
        <v>0</v>
      </c>
      <c r="DA83" s="2">
        <f t="shared" si="92"/>
      </c>
      <c r="DB83" s="2">
        <f t="shared" si="158"/>
      </c>
      <c r="DC83" s="2">
        <f t="shared" si="93"/>
      </c>
      <c r="DD83" s="2">
        <f t="shared" si="94"/>
      </c>
      <c r="DE83" s="2">
        <f t="shared" si="95"/>
      </c>
      <c r="DF83" s="2">
        <f t="shared" si="24"/>
      </c>
      <c r="DG83" s="129">
        <f t="shared" si="25"/>
      </c>
      <c r="DH83" s="2">
        <f t="shared" si="159"/>
      </c>
      <c r="DI83" s="2">
        <f t="shared" si="96"/>
      </c>
      <c r="DJ83" s="129">
        <f t="shared" si="97"/>
      </c>
      <c r="DK83" s="2">
        <f t="shared" si="160"/>
      </c>
      <c r="DL83" s="2">
        <f t="shared" si="98"/>
      </c>
      <c r="DM83" s="129">
        <f t="shared" si="99"/>
      </c>
      <c r="DN83" s="2">
        <f t="shared" si="161"/>
      </c>
      <c r="DO83" s="2">
        <f t="shared" si="162"/>
      </c>
      <c r="DP83" s="129">
        <f t="shared" si="100"/>
      </c>
      <c r="DQ83" s="2">
        <f t="shared" si="163"/>
      </c>
      <c r="DR83" s="2">
        <f t="shared" si="164"/>
      </c>
      <c r="DS83" s="129">
        <f t="shared" si="101"/>
      </c>
      <c r="DT83" s="2">
        <f t="shared" si="165"/>
      </c>
      <c r="DU83" s="2">
        <f t="shared" si="166"/>
      </c>
      <c r="DV83" s="129">
        <f t="shared" si="102"/>
      </c>
      <c r="DW83" s="2">
        <f t="shared" si="103"/>
      </c>
      <c r="DX83" s="2">
        <f t="shared" si="104"/>
      </c>
      <c r="DY83" s="129">
        <f t="shared" si="105"/>
      </c>
      <c r="DZ83" s="129"/>
      <c r="EA83" s="21">
        <f t="shared" si="106"/>
      </c>
      <c r="EB83" s="382">
        <f t="shared" si="107"/>
        <v>401769</v>
      </c>
      <c r="EC83" s="382">
        <f t="shared" si="108"/>
        <v>401769</v>
      </c>
      <c r="ED83" s="2">
        <f t="shared" si="184"/>
      </c>
      <c r="EE83" s="382">
        <f t="shared" si="110"/>
        <v>401769</v>
      </c>
      <c r="EF83" s="382">
        <f t="shared" si="185"/>
      </c>
      <c r="EG83" s="382">
        <f t="shared" si="186"/>
      </c>
      <c r="EH83" s="382"/>
      <c r="EI83" s="382">
        <f t="shared" si="187"/>
      </c>
      <c r="EJ83" s="208">
        <f t="shared" si="34"/>
        <v>401769</v>
      </c>
      <c r="EK83" s="2">
        <f t="shared" si="114"/>
      </c>
      <c r="EL83" s="2">
        <f t="shared" si="167"/>
      </c>
      <c r="EM83" s="34"/>
      <c r="EN83" s="7">
        <f t="shared" si="168"/>
        <v>1</v>
      </c>
      <c r="EO83" s="124">
        <f t="shared" si="169"/>
        <v>0</v>
      </c>
      <c r="EP83" s="214" t="str">
        <f t="shared" si="170"/>
        <v>●</v>
      </c>
      <c r="EQ83" s="213" t="str">
        <f t="shared" si="171"/>
        <v>●</v>
      </c>
      <c r="ER83" s="213" t="e">
        <f t="shared" si="172"/>
        <v>#VALUE!</v>
      </c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2"/>
      <c r="FD83" s="20"/>
      <c r="FE83" s="20">
        <f t="shared" si="115"/>
        <v>158</v>
      </c>
      <c r="FF83" s="2">
        <f t="shared" si="116"/>
        <v>1</v>
      </c>
      <c r="FG83" s="2">
        <f t="shared" si="117"/>
        <v>1</v>
      </c>
      <c r="FH83" s="2">
        <f t="shared" si="118"/>
        <v>1</v>
      </c>
      <c r="FI83" s="2">
        <f t="shared" si="119"/>
        <v>1</v>
      </c>
      <c r="FJ83" s="20"/>
      <c r="FK83" s="326">
        <f t="shared" si="120"/>
        <v>0</v>
      </c>
      <c r="FL83" s="326">
        <f t="shared" si="121"/>
        <v>0</v>
      </c>
      <c r="FM83" s="326">
        <f t="shared" si="122"/>
        <v>0</v>
      </c>
      <c r="FN83" s="326">
        <f t="shared" si="123"/>
        <v>0</v>
      </c>
      <c r="FP83" s="326"/>
      <c r="FQ83" s="326"/>
      <c r="FR83" s="326"/>
      <c r="FS83" s="326"/>
      <c r="GF83" s="2">
        <v>65</v>
      </c>
      <c r="GG83" s="2">
        <f t="shared" si="128"/>
        <v>1</v>
      </c>
      <c r="GH83" s="2">
        <f t="shared" si="129"/>
      </c>
      <c r="GI83" s="20">
        <f t="shared" si="130"/>
      </c>
      <c r="GJ83" s="20"/>
      <c r="GK83" s="20">
        <f t="shared" si="131"/>
      </c>
    </row>
    <row r="84" spans="1:193" s="29" customFormat="1" ht="15.75" customHeight="1" hidden="1" thickBot="1" thickTop="1">
      <c r="A84" s="144"/>
      <c r="B84" s="150">
        <f t="shared" si="132"/>
        <v>159</v>
      </c>
      <c r="C84" s="26">
        <f t="shared" si="43"/>
        <v>20701231</v>
      </c>
      <c r="D84" s="26" t="str">
        <f t="shared" si="44"/>
        <v>2070</v>
      </c>
      <c r="E84" s="26" t="str">
        <f t="shared" si="45"/>
        <v>12</v>
      </c>
      <c r="F84" s="26" t="str">
        <f t="shared" si="46"/>
        <v>31</v>
      </c>
      <c r="G84" s="26" t="str">
        <f t="shared" si="47"/>
        <v>2070/12/31</v>
      </c>
      <c r="H84" s="117">
        <f t="shared" si="0"/>
        <v>77</v>
      </c>
      <c r="I84" s="117">
        <f t="shared" si="48"/>
        <v>0</v>
      </c>
      <c r="J84" s="26">
        <f t="shared" si="173"/>
        <v>18</v>
      </c>
      <c r="K84" s="118">
        <f t="shared" si="143"/>
        <v>77</v>
      </c>
      <c r="L84" s="118">
        <f t="shared" si="144"/>
        <v>0</v>
      </c>
      <c r="M84" s="118">
        <f t="shared" si="145"/>
        <v>18</v>
      </c>
      <c r="N84" s="609" t="str">
        <f t="shared" si="175"/>
        <v>159.1.1~159.12.31</v>
      </c>
      <c r="O84" s="610"/>
      <c r="P84" s="610"/>
      <c r="Q84" s="611"/>
      <c r="R84" s="292" t="str">
        <f t="shared" si="134"/>
        <v>65</v>
      </c>
      <c r="S84" s="338">
        <f t="shared" si="49"/>
        <v>97</v>
      </c>
      <c r="T84" s="339">
        <f t="shared" si="50"/>
        <v>77</v>
      </c>
      <c r="U84" s="204">
        <f t="shared" si="51"/>
        <v>174</v>
      </c>
      <c r="V84" s="149"/>
      <c r="W84" s="613">
        <f t="shared" si="176"/>
      </c>
      <c r="X84" s="614"/>
      <c r="Y84" s="614"/>
      <c r="Z84" s="615"/>
      <c r="AA84" s="262">
        <f t="shared" si="54"/>
      </c>
      <c r="AB84" s="318">
        <f t="shared" si="55"/>
      </c>
      <c r="AC84" s="318">
        <f t="shared" si="56"/>
      </c>
      <c r="AD84" s="220">
        <f t="shared" si="57"/>
      </c>
      <c r="AE84" s="262">
        <f t="shared" si="58"/>
      </c>
      <c r="AF84" s="231">
        <f t="shared" si="59"/>
      </c>
      <c r="AG84" s="310">
        <f t="shared" si="177"/>
      </c>
      <c r="AH84" s="227">
        <f t="shared" si="178"/>
      </c>
      <c r="AI84" s="320">
        <f t="shared" si="179"/>
      </c>
      <c r="AJ84" s="320">
        <f t="shared" si="180"/>
      </c>
      <c r="AK84" s="320">
        <f t="shared" si="181"/>
      </c>
      <c r="AL84" s="320">
        <f t="shared" si="182"/>
      </c>
      <c r="AM84" s="282">
        <f t="shared" si="183"/>
      </c>
      <c r="AN84" s="103"/>
      <c r="AO84" s="119">
        <f t="shared" si="146"/>
        <v>0</v>
      </c>
      <c r="AP84" s="119">
        <f t="shared" si="67"/>
        <v>1</v>
      </c>
      <c r="AQ84" s="119">
        <f t="shared" si="68"/>
        <v>1</v>
      </c>
      <c r="AR84" s="119">
        <f>IF(OR(AO84+AP84+AQ84+GG84&gt;0,SUM($AO$30:AQ83)+GG83&gt;0),1,0)</f>
        <v>1</v>
      </c>
      <c r="AS84" s="119">
        <f t="shared" si="147"/>
      </c>
      <c r="AT84" s="119" t="str">
        <f t="shared" si="69"/>
        <v>符合「年齡滿65歲、年資滿15年」之屆齡退休擇領月退休金條件</v>
      </c>
      <c r="AU84" s="119">
        <f t="shared" si="70"/>
      </c>
      <c r="AV84" s="380" t="str">
        <f t="shared" si="71"/>
        <v>符合「年齡滿65歲、年資滿15年」之屆齡退休擇領月退休金條件</v>
      </c>
      <c r="AW84" s="120">
        <f t="shared" si="148"/>
        <v>0</v>
      </c>
      <c r="AX84" s="120">
        <f t="shared" si="149"/>
        <v>1</v>
      </c>
      <c r="AY84" s="120" t="str">
        <f t="shared" si="174"/>
        <v>符合</v>
      </c>
      <c r="AZ84" s="120">
        <f t="shared" si="150"/>
        <v>97</v>
      </c>
      <c r="BA84" s="120">
        <f t="shared" si="151"/>
        <v>20701231</v>
      </c>
      <c r="BB84" s="120" t="str">
        <f t="shared" si="152"/>
        <v>159.1.1~159.12.31</v>
      </c>
      <c r="BC84" s="121">
        <f t="shared" si="73"/>
      </c>
      <c r="BD84" s="122">
        <f t="shared" si="74"/>
      </c>
      <c r="BE84" s="122"/>
      <c r="BF84" s="120"/>
      <c r="BG84" s="123">
        <f t="shared" si="75"/>
      </c>
      <c r="BH84" s="31">
        <f t="shared" si="76"/>
        <v>1</v>
      </c>
      <c r="BI84" s="7">
        <f t="shared" si="77"/>
        <v>1</v>
      </c>
      <c r="BJ84" s="7"/>
      <c r="BK84" s="124">
        <f t="shared" si="153"/>
        <v>0</v>
      </c>
      <c r="BL84" s="124">
        <f t="shared" si="79"/>
      </c>
      <c r="BM84" s="124">
        <f t="shared" si="80"/>
        <v>0</v>
      </c>
      <c r="BN84" s="124">
        <f t="shared" si="81"/>
      </c>
      <c r="BO84" s="124">
        <f t="shared" si="82"/>
        <v>0</v>
      </c>
      <c r="BP84" s="124">
        <f t="shared" si="12"/>
      </c>
      <c r="BQ84" s="33"/>
      <c r="BR84" s="33"/>
      <c r="BS84" s="33"/>
      <c r="BT84" s="33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4"/>
      <c r="CH84" s="34"/>
      <c r="CI84" s="34"/>
      <c r="CJ84" s="34"/>
      <c r="CK84" s="183">
        <f t="shared" si="154"/>
        <v>13</v>
      </c>
      <c r="CL84" s="7">
        <f t="shared" si="155"/>
        <v>12</v>
      </c>
      <c r="CM84" s="20">
        <f t="shared" si="156"/>
        <v>159</v>
      </c>
      <c r="CN84" s="382">
        <f t="shared" si="83"/>
        <v>62444</v>
      </c>
      <c r="CO84" s="185">
        <f t="shared" si="84"/>
        <v>12</v>
      </c>
      <c r="CP84" s="2">
        <f t="shared" si="138"/>
        <v>17</v>
      </c>
      <c r="CQ84" s="382">
        <f t="shared" si="85"/>
        <v>62440</v>
      </c>
      <c r="CR84" s="185">
        <f t="shared" si="135"/>
        <v>12</v>
      </c>
      <c r="CS84" s="2">
        <f t="shared" si="136"/>
        <v>13</v>
      </c>
      <c r="CT84" s="2" t="str">
        <f t="shared" si="139"/>
        <v>初任</v>
      </c>
      <c r="CU84" s="382">
        <f t="shared" si="87"/>
        <v>62440</v>
      </c>
      <c r="CV84" s="2">
        <f t="shared" si="140"/>
        <v>12</v>
      </c>
      <c r="CW84" s="2" t="str">
        <f t="shared" si="141"/>
        <v>生日</v>
      </c>
      <c r="CX84" s="382">
        <f t="shared" si="90"/>
        <v>62444</v>
      </c>
      <c r="CY84" s="2">
        <f t="shared" si="142"/>
        <v>12</v>
      </c>
      <c r="CZ84" s="2">
        <f t="shared" si="157"/>
        <v>0</v>
      </c>
      <c r="DA84" s="2">
        <f t="shared" si="92"/>
      </c>
      <c r="DB84" s="2">
        <f t="shared" si="158"/>
      </c>
      <c r="DC84" s="2">
        <f t="shared" si="93"/>
      </c>
      <c r="DD84" s="2">
        <f t="shared" si="94"/>
      </c>
      <c r="DE84" s="2">
        <f t="shared" si="95"/>
      </c>
      <c r="DF84" s="2">
        <f t="shared" si="24"/>
      </c>
      <c r="DG84" s="129">
        <f t="shared" si="25"/>
      </c>
      <c r="DH84" s="2">
        <f t="shared" si="159"/>
      </c>
      <c r="DI84" s="2">
        <f t="shared" si="96"/>
      </c>
      <c r="DJ84" s="129">
        <f t="shared" si="97"/>
      </c>
      <c r="DK84" s="2">
        <f t="shared" si="160"/>
      </c>
      <c r="DL84" s="2">
        <f t="shared" si="98"/>
      </c>
      <c r="DM84" s="129">
        <f t="shared" si="99"/>
      </c>
      <c r="DN84" s="2">
        <f t="shared" si="161"/>
      </c>
      <c r="DO84" s="2">
        <f t="shared" si="162"/>
      </c>
      <c r="DP84" s="129">
        <f t="shared" si="100"/>
      </c>
      <c r="DQ84" s="2">
        <f t="shared" si="163"/>
      </c>
      <c r="DR84" s="2">
        <f t="shared" si="164"/>
      </c>
      <c r="DS84" s="129">
        <f t="shared" si="101"/>
      </c>
      <c r="DT84" s="2">
        <f t="shared" si="165"/>
      </c>
      <c r="DU84" s="2">
        <f t="shared" si="166"/>
      </c>
      <c r="DV84" s="129">
        <f t="shared" si="102"/>
      </c>
      <c r="DW84" s="2">
        <f t="shared" si="103"/>
      </c>
      <c r="DX84" s="2">
        <f t="shared" si="104"/>
      </c>
      <c r="DY84" s="129">
        <f t="shared" si="105"/>
      </c>
      <c r="DZ84" s="129"/>
      <c r="EA84" s="21">
        <f t="shared" si="106"/>
      </c>
      <c r="EB84" s="382">
        <f t="shared" si="107"/>
        <v>401769</v>
      </c>
      <c r="EC84" s="382">
        <f t="shared" si="108"/>
        <v>401769</v>
      </c>
      <c r="ED84" s="2">
        <f t="shared" si="184"/>
      </c>
      <c r="EE84" s="382">
        <f t="shared" si="110"/>
        <v>401769</v>
      </c>
      <c r="EF84" s="382">
        <f t="shared" si="185"/>
      </c>
      <c r="EG84" s="382">
        <f t="shared" si="186"/>
      </c>
      <c r="EH84" s="382"/>
      <c r="EI84" s="382">
        <f t="shared" si="187"/>
      </c>
      <c r="EJ84" s="208">
        <f t="shared" si="34"/>
        <v>401769</v>
      </c>
      <c r="EK84" s="2">
        <f t="shared" si="114"/>
      </c>
      <c r="EL84" s="2">
        <f t="shared" si="167"/>
      </c>
      <c r="EM84" s="34"/>
      <c r="EN84" s="7">
        <f t="shared" si="168"/>
        <v>1</v>
      </c>
      <c r="EO84" s="124">
        <f t="shared" si="169"/>
        <v>0</v>
      </c>
      <c r="EP84" s="214" t="str">
        <f t="shared" si="170"/>
        <v>●</v>
      </c>
      <c r="EQ84" s="213" t="str">
        <f t="shared" si="171"/>
        <v>●</v>
      </c>
      <c r="ER84" s="213" t="e">
        <f t="shared" si="172"/>
        <v>#VALUE!</v>
      </c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2"/>
      <c r="FD84" s="20"/>
      <c r="FE84" s="20">
        <f t="shared" si="115"/>
        <v>159</v>
      </c>
      <c r="FF84" s="2">
        <f t="shared" si="116"/>
        <v>1</v>
      </c>
      <c r="FG84" s="2">
        <f t="shared" si="117"/>
        <v>1</v>
      </c>
      <c r="FH84" s="2">
        <f t="shared" si="118"/>
        <v>1</v>
      </c>
      <c r="FI84" s="2">
        <f t="shared" si="119"/>
        <v>1</v>
      </c>
      <c r="FJ84" s="20"/>
      <c r="FK84" s="326">
        <f t="shared" si="120"/>
        <v>0</v>
      </c>
      <c r="FL84" s="326">
        <f t="shared" si="121"/>
        <v>0</v>
      </c>
      <c r="FM84" s="326">
        <f t="shared" si="122"/>
        <v>0</v>
      </c>
      <c r="FN84" s="326">
        <f t="shared" si="123"/>
        <v>0</v>
      </c>
      <c r="FP84" s="326"/>
      <c r="FQ84" s="326"/>
      <c r="FR84" s="326"/>
      <c r="FS84" s="326"/>
      <c r="GF84" s="2">
        <v>65</v>
      </c>
      <c r="GG84" s="2">
        <f t="shared" si="128"/>
        <v>1</v>
      </c>
      <c r="GH84" s="2">
        <f t="shared" si="129"/>
      </c>
      <c r="GI84" s="20">
        <f t="shared" si="130"/>
      </c>
      <c r="GJ84" s="20"/>
      <c r="GK84" s="20">
        <f t="shared" si="131"/>
      </c>
    </row>
    <row r="85" spans="1:193" s="29" customFormat="1" ht="15.75" customHeight="1" hidden="1" thickBot="1" thickTop="1">
      <c r="A85" s="144"/>
      <c r="B85" s="150">
        <f t="shared" si="132"/>
        <v>160</v>
      </c>
      <c r="C85" s="26">
        <f t="shared" si="43"/>
        <v>20711231</v>
      </c>
      <c r="D85" s="26" t="str">
        <f t="shared" si="44"/>
        <v>2071</v>
      </c>
      <c r="E85" s="26" t="str">
        <f t="shared" si="45"/>
        <v>12</v>
      </c>
      <c r="F85" s="26" t="str">
        <f t="shared" si="46"/>
        <v>31</v>
      </c>
      <c r="G85" s="26" t="str">
        <f t="shared" si="47"/>
        <v>2071/12/31</v>
      </c>
      <c r="H85" s="117">
        <f t="shared" si="0"/>
        <v>78</v>
      </c>
      <c r="I85" s="117">
        <f t="shared" si="48"/>
        <v>0</v>
      </c>
      <c r="J85" s="26">
        <f t="shared" si="173"/>
        <v>18</v>
      </c>
      <c r="K85" s="118">
        <f t="shared" si="143"/>
        <v>78</v>
      </c>
      <c r="L85" s="118">
        <f t="shared" si="144"/>
        <v>0</v>
      </c>
      <c r="M85" s="118">
        <f t="shared" si="145"/>
        <v>18</v>
      </c>
      <c r="N85" s="609" t="str">
        <f t="shared" si="175"/>
        <v>160.1.1~160.12.31</v>
      </c>
      <c r="O85" s="610"/>
      <c r="P85" s="610"/>
      <c r="Q85" s="611"/>
      <c r="R85" s="292" t="str">
        <f t="shared" si="134"/>
        <v>65</v>
      </c>
      <c r="S85" s="338">
        <f t="shared" si="49"/>
        <v>98</v>
      </c>
      <c r="T85" s="339">
        <f t="shared" si="50"/>
        <v>78</v>
      </c>
      <c r="U85" s="204">
        <f t="shared" si="51"/>
        <v>176</v>
      </c>
      <c r="V85" s="149"/>
      <c r="W85" s="613">
        <f t="shared" si="176"/>
      </c>
      <c r="X85" s="614"/>
      <c r="Y85" s="614"/>
      <c r="Z85" s="615"/>
      <c r="AA85" s="262">
        <f t="shared" si="54"/>
      </c>
      <c r="AB85" s="318">
        <f t="shared" si="55"/>
      </c>
      <c r="AC85" s="318">
        <f t="shared" si="56"/>
      </c>
      <c r="AD85" s="220">
        <f t="shared" si="57"/>
      </c>
      <c r="AE85" s="262">
        <f t="shared" si="58"/>
      </c>
      <c r="AF85" s="231">
        <f t="shared" si="59"/>
      </c>
      <c r="AG85" s="310">
        <f t="shared" si="177"/>
      </c>
      <c r="AH85" s="227">
        <f t="shared" si="178"/>
      </c>
      <c r="AI85" s="320">
        <f t="shared" si="179"/>
      </c>
      <c r="AJ85" s="320">
        <f t="shared" si="180"/>
      </c>
      <c r="AK85" s="320">
        <f t="shared" si="181"/>
      </c>
      <c r="AL85" s="320">
        <f t="shared" si="182"/>
      </c>
      <c r="AM85" s="282">
        <f t="shared" si="183"/>
      </c>
      <c r="AN85" s="103"/>
      <c r="AO85" s="119">
        <f t="shared" si="146"/>
        <v>0</v>
      </c>
      <c r="AP85" s="119">
        <f t="shared" si="67"/>
        <v>1</v>
      </c>
      <c r="AQ85" s="119">
        <f t="shared" si="68"/>
        <v>1</v>
      </c>
      <c r="AR85" s="119">
        <f>IF(OR(AO85+AP85+AQ85+GG85&gt;0,SUM($AO$30:AQ84)+GG84&gt;0),1,0)</f>
        <v>1</v>
      </c>
      <c r="AS85" s="119">
        <f t="shared" si="147"/>
      </c>
      <c r="AT85" s="119" t="str">
        <f t="shared" si="69"/>
        <v>符合「年齡滿65歲、年資滿15年」之屆齡退休擇領月退休金條件</v>
      </c>
      <c r="AU85" s="119">
        <f t="shared" si="70"/>
      </c>
      <c r="AV85" s="380" t="str">
        <f t="shared" si="71"/>
        <v>符合「年齡滿65歲、年資滿15年」之屆齡退休擇領月退休金條件</v>
      </c>
      <c r="AW85" s="120">
        <f t="shared" si="148"/>
        <v>0</v>
      </c>
      <c r="AX85" s="120">
        <f t="shared" si="149"/>
        <v>1</v>
      </c>
      <c r="AY85" s="120" t="str">
        <f t="shared" si="174"/>
        <v>符合</v>
      </c>
      <c r="AZ85" s="120">
        <f t="shared" si="150"/>
        <v>98</v>
      </c>
      <c r="BA85" s="120">
        <f t="shared" si="151"/>
        <v>20711231</v>
      </c>
      <c r="BB85" s="120" t="str">
        <f t="shared" si="152"/>
        <v>160.1.1~160.12.31</v>
      </c>
      <c r="BC85" s="121">
        <f t="shared" si="73"/>
      </c>
      <c r="BD85" s="122">
        <f t="shared" si="74"/>
      </c>
      <c r="BE85" s="122"/>
      <c r="BF85" s="120"/>
      <c r="BG85" s="123">
        <f t="shared" si="75"/>
      </c>
      <c r="BH85" s="31">
        <f t="shared" si="76"/>
        <v>1</v>
      </c>
      <c r="BI85" s="7">
        <f t="shared" si="77"/>
        <v>1</v>
      </c>
      <c r="BJ85" s="7"/>
      <c r="BK85" s="124">
        <f t="shared" si="153"/>
        <v>0</v>
      </c>
      <c r="BL85" s="124">
        <f t="shared" si="79"/>
      </c>
      <c r="BM85" s="124">
        <f t="shared" si="80"/>
        <v>0</v>
      </c>
      <c r="BN85" s="124">
        <f t="shared" si="81"/>
      </c>
      <c r="BO85" s="124">
        <f t="shared" si="82"/>
        <v>0</v>
      </c>
      <c r="BP85" s="124">
        <f t="shared" si="12"/>
      </c>
      <c r="BQ85" s="33"/>
      <c r="BR85" s="33"/>
      <c r="BS85" s="33"/>
      <c r="BT85" s="33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4"/>
      <c r="CH85" s="34"/>
      <c r="CI85" s="34"/>
      <c r="CJ85" s="34"/>
      <c r="CK85" s="183">
        <f t="shared" si="154"/>
        <v>13</v>
      </c>
      <c r="CL85" s="7">
        <f t="shared" si="155"/>
        <v>12</v>
      </c>
      <c r="CM85" s="20">
        <f t="shared" si="156"/>
        <v>160</v>
      </c>
      <c r="CN85" s="382">
        <f t="shared" si="83"/>
        <v>62809</v>
      </c>
      <c r="CO85" s="185">
        <f t="shared" si="84"/>
        <v>12</v>
      </c>
      <c r="CP85" s="2">
        <f t="shared" si="138"/>
        <v>17</v>
      </c>
      <c r="CQ85" s="382">
        <f t="shared" si="85"/>
        <v>62805</v>
      </c>
      <c r="CR85" s="185">
        <f t="shared" si="135"/>
        <v>12</v>
      </c>
      <c r="CS85" s="2">
        <f t="shared" si="136"/>
        <v>13</v>
      </c>
      <c r="CT85" s="2" t="str">
        <f t="shared" si="139"/>
        <v>初任</v>
      </c>
      <c r="CU85" s="382">
        <f t="shared" si="87"/>
        <v>62805</v>
      </c>
      <c r="CV85" s="2">
        <f t="shared" si="140"/>
        <v>12</v>
      </c>
      <c r="CW85" s="2" t="str">
        <f t="shared" si="141"/>
        <v>生日</v>
      </c>
      <c r="CX85" s="382">
        <f t="shared" si="90"/>
        <v>62809</v>
      </c>
      <c r="CY85" s="2">
        <f t="shared" si="142"/>
        <v>12</v>
      </c>
      <c r="CZ85" s="2">
        <f t="shared" si="157"/>
        <v>0</v>
      </c>
      <c r="DA85" s="2">
        <f t="shared" si="92"/>
      </c>
      <c r="DB85" s="2">
        <f t="shared" si="158"/>
      </c>
      <c r="DC85" s="2">
        <f t="shared" si="93"/>
      </c>
      <c r="DD85" s="2">
        <f t="shared" si="94"/>
      </c>
      <c r="DE85" s="2">
        <f t="shared" si="95"/>
      </c>
      <c r="DF85" s="2">
        <f t="shared" si="24"/>
      </c>
      <c r="DG85" s="129">
        <f t="shared" si="25"/>
      </c>
      <c r="DH85" s="2">
        <f t="shared" si="159"/>
      </c>
      <c r="DI85" s="2">
        <f t="shared" si="96"/>
      </c>
      <c r="DJ85" s="129">
        <f t="shared" si="97"/>
      </c>
      <c r="DK85" s="2">
        <f t="shared" si="160"/>
      </c>
      <c r="DL85" s="2">
        <f t="shared" si="98"/>
      </c>
      <c r="DM85" s="129">
        <f t="shared" si="99"/>
      </c>
      <c r="DN85" s="2">
        <f t="shared" si="161"/>
      </c>
      <c r="DO85" s="2">
        <f t="shared" si="162"/>
      </c>
      <c r="DP85" s="129">
        <f t="shared" si="100"/>
      </c>
      <c r="DQ85" s="2">
        <f t="shared" si="163"/>
      </c>
      <c r="DR85" s="2">
        <f t="shared" si="164"/>
      </c>
      <c r="DS85" s="129">
        <f t="shared" si="101"/>
      </c>
      <c r="DT85" s="2">
        <f t="shared" si="165"/>
      </c>
      <c r="DU85" s="2">
        <f t="shared" si="166"/>
      </c>
      <c r="DV85" s="129">
        <f t="shared" si="102"/>
      </c>
      <c r="DW85" s="2">
        <f t="shared" si="103"/>
      </c>
      <c r="DX85" s="2">
        <f t="shared" si="104"/>
      </c>
      <c r="DY85" s="129">
        <f t="shared" si="105"/>
      </c>
      <c r="DZ85" s="129"/>
      <c r="EA85" s="21">
        <f t="shared" si="106"/>
      </c>
      <c r="EB85" s="382">
        <f t="shared" si="107"/>
        <v>401769</v>
      </c>
      <c r="EC85" s="382">
        <f t="shared" si="108"/>
        <v>401769</v>
      </c>
      <c r="ED85" s="2">
        <f t="shared" si="184"/>
      </c>
      <c r="EE85" s="382">
        <f t="shared" si="110"/>
        <v>401769</v>
      </c>
      <c r="EF85" s="382">
        <f t="shared" si="185"/>
      </c>
      <c r="EG85" s="382">
        <f t="shared" si="186"/>
      </c>
      <c r="EH85" s="382"/>
      <c r="EI85" s="382">
        <f t="shared" si="187"/>
      </c>
      <c r="EJ85" s="208">
        <f t="shared" si="34"/>
        <v>401769</v>
      </c>
      <c r="EK85" s="2">
        <f t="shared" si="114"/>
      </c>
      <c r="EL85" s="2">
        <f t="shared" si="167"/>
      </c>
      <c r="EM85" s="34"/>
      <c r="EN85" s="7">
        <f t="shared" si="168"/>
        <v>1</v>
      </c>
      <c r="EO85" s="124">
        <f t="shared" si="169"/>
        <v>0</v>
      </c>
      <c r="EP85" s="214" t="str">
        <f t="shared" si="170"/>
        <v>●</v>
      </c>
      <c r="EQ85" s="213" t="str">
        <f t="shared" si="171"/>
        <v>●</v>
      </c>
      <c r="ER85" s="213" t="e">
        <f t="shared" si="172"/>
        <v>#VALUE!</v>
      </c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2"/>
      <c r="FD85" s="20"/>
      <c r="FE85" s="20">
        <f t="shared" si="115"/>
        <v>160</v>
      </c>
      <c r="FF85" s="2">
        <f t="shared" si="116"/>
        <v>1</v>
      </c>
      <c r="FG85" s="2">
        <f t="shared" si="117"/>
        <v>1</v>
      </c>
      <c r="FH85" s="2">
        <f t="shared" si="118"/>
        <v>1</v>
      </c>
      <c r="FI85" s="2">
        <f t="shared" si="119"/>
        <v>1</v>
      </c>
      <c r="FJ85" s="20"/>
      <c r="FK85" s="326">
        <f t="shared" si="120"/>
        <v>0</v>
      </c>
      <c r="FL85" s="326">
        <f t="shared" si="121"/>
        <v>0</v>
      </c>
      <c r="FM85" s="326">
        <f t="shared" si="122"/>
        <v>0</v>
      </c>
      <c r="FN85" s="326">
        <f t="shared" si="123"/>
        <v>0</v>
      </c>
      <c r="FP85" s="326"/>
      <c r="FQ85" s="326"/>
      <c r="FR85" s="326"/>
      <c r="FS85" s="326"/>
      <c r="GF85" s="2">
        <v>65</v>
      </c>
      <c r="GG85" s="2">
        <f t="shared" si="128"/>
        <v>1</v>
      </c>
      <c r="GH85" s="2">
        <f t="shared" si="129"/>
      </c>
      <c r="GI85" s="20">
        <f t="shared" si="130"/>
      </c>
      <c r="GJ85" s="20"/>
      <c r="GK85" s="20">
        <f t="shared" si="131"/>
      </c>
    </row>
    <row r="86" spans="1:193" s="29" customFormat="1" ht="15.75" customHeight="1" hidden="1" thickBot="1" thickTop="1">
      <c r="A86" s="144"/>
      <c r="B86" s="150">
        <f t="shared" si="132"/>
        <v>161</v>
      </c>
      <c r="C86" s="26">
        <f t="shared" si="43"/>
        <v>20721231</v>
      </c>
      <c r="D86" s="26" t="str">
        <f t="shared" si="44"/>
        <v>2072</v>
      </c>
      <c r="E86" s="26" t="str">
        <f t="shared" si="45"/>
        <v>12</v>
      </c>
      <c r="F86" s="26" t="str">
        <f t="shared" si="46"/>
        <v>31</v>
      </c>
      <c r="G86" s="26" t="str">
        <f t="shared" si="47"/>
        <v>2072/12/31</v>
      </c>
      <c r="H86" s="117">
        <f t="shared" si="0"/>
        <v>79</v>
      </c>
      <c r="I86" s="117">
        <f t="shared" si="48"/>
        <v>0</v>
      </c>
      <c r="J86" s="26">
        <f t="shared" si="173"/>
        <v>18</v>
      </c>
      <c r="K86" s="118">
        <f t="shared" si="143"/>
        <v>79</v>
      </c>
      <c r="L86" s="118">
        <f t="shared" si="144"/>
        <v>0</v>
      </c>
      <c r="M86" s="118">
        <f t="shared" si="145"/>
        <v>18</v>
      </c>
      <c r="N86" s="609" t="str">
        <f t="shared" si="175"/>
        <v>161.1.1~161.12.31</v>
      </c>
      <c r="O86" s="610"/>
      <c r="P86" s="610"/>
      <c r="Q86" s="611"/>
      <c r="R86" s="292" t="str">
        <f t="shared" si="134"/>
        <v>65</v>
      </c>
      <c r="S86" s="338">
        <f t="shared" si="49"/>
        <v>99</v>
      </c>
      <c r="T86" s="339">
        <f t="shared" si="50"/>
        <v>79</v>
      </c>
      <c r="U86" s="204">
        <f t="shared" si="51"/>
        <v>178</v>
      </c>
      <c r="V86" s="149"/>
      <c r="W86" s="613">
        <f t="shared" si="176"/>
      </c>
      <c r="X86" s="614"/>
      <c r="Y86" s="614"/>
      <c r="Z86" s="615"/>
      <c r="AA86" s="262">
        <f t="shared" si="54"/>
      </c>
      <c r="AB86" s="318">
        <f t="shared" si="55"/>
      </c>
      <c r="AC86" s="318">
        <f t="shared" si="56"/>
      </c>
      <c r="AD86" s="220">
        <f t="shared" si="57"/>
      </c>
      <c r="AE86" s="262">
        <f t="shared" si="58"/>
      </c>
      <c r="AF86" s="231">
        <f t="shared" si="59"/>
      </c>
      <c r="AG86" s="310">
        <f t="shared" si="177"/>
      </c>
      <c r="AH86" s="227">
        <f t="shared" si="178"/>
      </c>
      <c r="AI86" s="320">
        <f t="shared" si="179"/>
      </c>
      <c r="AJ86" s="320">
        <f t="shared" si="180"/>
      </c>
      <c r="AK86" s="320">
        <f t="shared" si="181"/>
      </c>
      <c r="AL86" s="320">
        <f t="shared" si="182"/>
      </c>
      <c r="AM86" s="282">
        <f t="shared" si="183"/>
      </c>
      <c r="AN86" s="103"/>
      <c r="AO86" s="119">
        <f t="shared" si="146"/>
        <v>0</v>
      </c>
      <c r="AP86" s="119">
        <f t="shared" si="67"/>
        <v>1</v>
      </c>
      <c r="AQ86" s="119">
        <f t="shared" si="68"/>
        <v>1</v>
      </c>
      <c r="AR86" s="119">
        <f>IF(OR(AO86+AP86+AQ86+GG86&gt;0,SUM($AO$30:AQ85)+GG85&gt;0),1,0)</f>
        <v>1</v>
      </c>
      <c r="AS86" s="119">
        <f t="shared" si="147"/>
      </c>
      <c r="AT86" s="119" t="str">
        <f t="shared" si="69"/>
        <v>符合「年齡滿65歲、年資滿15年」之屆齡退休擇領月退休金條件</v>
      </c>
      <c r="AU86" s="119">
        <f t="shared" si="70"/>
      </c>
      <c r="AV86" s="380" t="str">
        <f t="shared" si="71"/>
        <v>符合「年齡滿65歲、年資滿15年」之屆齡退休擇領月退休金條件</v>
      </c>
      <c r="AW86" s="120">
        <f t="shared" si="148"/>
        <v>0</v>
      </c>
      <c r="AX86" s="120">
        <f t="shared" si="149"/>
        <v>1</v>
      </c>
      <c r="AY86" s="120" t="str">
        <f t="shared" si="174"/>
        <v>符合</v>
      </c>
      <c r="AZ86" s="120">
        <f t="shared" si="150"/>
        <v>99</v>
      </c>
      <c r="BA86" s="120">
        <f t="shared" si="151"/>
        <v>20721231</v>
      </c>
      <c r="BB86" s="120" t="str">
        <f t="shared" si="152"/>
        <v>161.1.1~161.12.31</v>
      </c>
      <c r="BC86" s="121">
        <f t="shared" si="73"/>
      </c>
      <c r="BD86" s="122">
        <f t="shared" si="74"/>
      </c>
      <c r="BE86" s="122"/>
      <c r="BF86" s="120"/>
      <c r="BG86" s="123">
        <f t="shared" si="75"/>
      </c>
      <c r="BH86" s="31">
        <f t="shared" si="76"/>
        <v>1</v>
      </c>
      <c r="BI86" s="7">
        <f t="shared" si="77"/>
        <v>1</v>
      </c>
      <c r="BJ86" s="7"/>
      <c r="BK86" s="124">
        <f t="shared" si="153"/>
        <v>0</v>
      </c>
      <c r="BL86" s="124">
        <f t="shared" si="79"/>
      </c>
      <c r="BM86" s="124">
        <f t="shared" si="80"/>
        <v>0</v>
      </c>
      <c r="BN86" s="124">
        <f t="shared" si="81"/>
      </c>
      <c r="BO86" s="124">
        <f t="shared" si="82"/>
        <v>0</v>
      </c>
      <c r="BP86" s="124">
        <f t="shared" si="12"/>
      </c>
      <c r="BQ86" s="33"/>
      <c r="BR86" s="33"/>
      <c r="BS86" s="33"/>
      <c r="BT86" s="33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4"/>
      <c r="CH86" s="34"/>
      <c r="CI86" s="34"/>
      <c r="CJ86" s="34"/>
      <c r="CK86" s="183">
        <f t="shared" si="154"/>
        <v>13</v>
      </c>
      <c r="CL86" s="7">
        <f t="shared" si="155"/>
        <v>12</v>
      </c>
      <c r="CM86" s="20">
        <f t="shared" si="156"/>
        <v>161</v>
      </c>
      <c r="CN86" s="382">
        <f t="shared" si="83"/>
        <v>63175</v>
      </c>
      <c r="CO86" s="185">
        <f t="shared" si="84"/>
        <v>12</v>
      </c>
      <c r="CP86" s="2">
        <f t="shared" si="138"/>
        <v>17</v>
      </c>
      <c r="CQ86" s="382">
        <f t="shared" si="85"/>
        <v>63171</v>
      </c>
      <c r="CR86" s="185">
        <f t="shared" si="135"/>
        <v>12</v>
      </c>
      <c r="CS86" s="2">
        <f t="shared" si="136"/>
        <v>13</v>
      </c>
      <c r="CT86" s="2" t="str">
        <f t="shared" si="139"/>
        <v>初任</v>
      </c>
      <c r="CU86" s="382">
        <f t="shared" si="87"/>
        <v>63171</v>
      </c>
      <c r="CV86" s="2">
        <f t="shared" si="140"/>
        <v>12</v>
      </c>
      <c r="CW86" s="2" t="str">
        <f t="shared" si="141"/>
        <v>生日</v>
      </c>
      <c r="CX86" s="382">
        <f t="shared" si="90"/>
        <v>63175</v>
      </c>
      <c r="CY86" s="2">
        <f t="shared" si="142"/>
        <v>12</v>
      </c>
      <c r="CZ86" s="2">
        <f t="shared" si="157"/>
        <v>0</v>
      </c>
      <c r="DA86" s="2">
        <f t="shared" si="92"/>
      </c>
      <c r="DB86" s="2">
        <f t="shared" si="158"/>
      </c>
      <c r="DC86" s="2">
        <f t="shared" si="93"/>
      </c>
      <c r="DD86" s="2">
        <f t="shared" si="94"/>
      </c>
      <c r="DE86" s="2">
        <f t="shared" si="95"/>
      </c>
      <c r="DF86" s="2">
        <f t="shared" si="24"/>
      </c>
      <c r="DG86" s="129">
        <f t="shared" si="25"/>
      </c>
      <c r="DH86" s="2">
        <f t="shared" si="159"/>
      </c>
      <c r="DI86" s="2">
        <f t="shared" si="96"/>
      </c>
      <c r="DJ86" s="129">
        <f t="shared" si="97"/>
      </c>
      <c r="DK86" s="2">
        <f t="shared" si="160"/>
      </c>
      <c r="DL86" s="2">
        <f t="shared" si="98"/>
      </c>
      <c r="DM86" s="129">
        <f t="shared" si="99"/>
      </c>
      <c r="DN86" s="2">
        <f t="shared" si="161"/>
      </c>
      <c r="DO86" s="2">
        <f t="shared" si="162"/>
      </c>
      <c r="DP86" s="129">
        <f t="shared" si="100"/>
      </c>
      <c r="DQ86" s="2">
        <f t="shared" si="163"/>
      </c>
      <c r="DR86" s="2">
        <f t="shared" si="164"/>
      </c>
      <c r="DS86" s="129">
        <f t="shared" si="101"/>
      </c>
      <c r="DT86" s="2">
        <f t="shared" si="165"/>
      </c>
      <c r="DU86" s="2">
        <f t="shared" si="166"/>
      </c>
      <c r="DV86" s="129">
        <f t="shared" si="102"/>
      </c>
      <c r="DW86" s="2">
        <f t="shared" si="103"/>
      </c>
      <c r="DX86" s="2">
        <f t="shared" si="104"/>
      </c>
      <c r="DY86" s="129">
        <f t="shared" si="105"/>
      </c>
      <c r="DZ86" s="129"/>
      <c r="EA86" s="21">
        <f t="shared" si="106"/>
      </c>
      <c r="EB86" s="382">
        <f t="shared" si="107"/>
        <v>401769</v>
      </c>
      <c r="EC86" s="382">
        <f t="shared" si="108"/>
        <v>401769</v>
      </c>
      <c r="ED86" s="2">
        <f t="shared" si="184"/>
      </c>
      <c r="EE86" s="382">
        <f t="shared" si="110"/>
        <v>401769</v>
      </c>
      <c r="EF86" s="382">
        <f t="shared" si="185"/>
      </c>
      <c r="EG86" s="382">
        <f t="shared" si="186"/>
      </c>
      <c r="EH86" s="382"/>
      <c r="EI86" s="382">
        <f t="shared" si="187"/>
      </c>
      <c r="EJ86" s="208">
        <f t="shared" si="34"/>
        <v>401769</v>
      </c>
      <c r="EK86" s="2">
        <f t="shared" si="114"/>
      </c>
      <c r="EL86" s="2">
        <f t="shared" si="167"/>
      </c>
      <c r="EM86" s="34"/>
      <c r="EN86" s="7">
        <f t="shared" si="168"/>
        <v>1</v>
      </c>
      <c r="EO86" s="124">
        <f t="shared" si="169"/>
        <v>0</v>
      </c>
      <c r="EP86" s="214" t="str">
        <f t="shared" si="170"/>
        <v>●</v>
      </c>
      <c r="EQ86" s="213" t="str">
        <f t="shared" si="171"/>
        <v>●</v>
      </c>
      <c r="ER86" s="213" t="e">
        <f t="shared" si="172"/>
        <v>#VALUE!</v>
      </c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2"/>
      <c r="FD86" s="20"/>
      <c r="FE86" s="20">
        <f t="shared" si="115"/>
        <v>161</v>
      </c>
      <c r="FF86" s="2">
        <f t="shared" si="116"/>
        <v>1</v>
      </c>
      <c r="FG86" s="2">
        <f t="shared" si="117"/>
        <v>1</v>
      </c>
      <c r="FH86" s="2">
        <f t="shared" si="118"/>
        <v>1</v>
      </c>
      <c r="FI86" s="2">
        <f t="shared" si="119"/>
        <v>1</v>
      </c>
      <c r="FJ86" s="20"/>
      <c r="FK86" s="326">
        <f t="shared" si="120"/>
        <v>0</v>
      </c>
      <c r="FL86" s="326">
        <f t="shared" si="121"/>
        <v>0</v>
      </c>
      <c r="FM86" s="326">
        <f t="shared" si="122"/>
        <v>0</v>
      </c>
      <c r="FN86" s="326">
        <f t="shared" si="123"/>
        <v>0</v>
      </c>
      <c r="FP86" s="326"/>
      <c r="FQ86" s="326"/>
      <c r="FR86" s="326"/>
      <c r="FS86" s="326"/>
      <c r="GF86" s="2">
        <v>65</v>
      </c>
      <c r="GG86" s="2">
        <f t="shared" si="128"/>
        <v>1</v>
      </c>
      <c r="GH86" s="2">
        <f t="shared" si="129"/>
      </c>
      <c r="GI86" s="20">
        <f t="shared" si="130"/>
      </c>
      <c r="GJ86" s="20"/>
      <c r="GK86" s="20">
        <f t="shared" si="131"/>
      </c>
    </row>
    <row r="87" spans="1:193" s="29" customFormat="1" ht="15.75" customHeight="1" hidden="1" thickBot="1" thickTop="1">
      <c r="A87" s="144"/>
      <c r="B87" s="150">
        <f t="shared" si="132"/>
        <v>162</v>
      </c>
      <c r="C87" s="26">
        <f t="shared" si="43"/>
        <v>20731231</v>
      </c>
      <c r="D87" s="26" t="str">
        <f t="shared" si="44"/>
        <v>2073</v>
      </c>
      <c r="E87" s="26" t="str">
        <f t="shared" si="45"/>
        <v>12</v>
      </c>
      <c r="F87" s="26" t="str">
        <f t="shared" si="46"/>
        <v>31</v>
      </c>
      <c r="G87" s="26" t="str">
        <f t="shared" si="47"/>
        <v>2073/12/31</v>
      </c>
      <c r="H87" s="117">
        <f t="shared" si="0"/>
        <v>80</v>
      </c>
      <c r="I87" s="117">
        <f t="shared" si="48"/>
        <v>0</v>
      </c>
      <c r="J87" s="26">
        <f t="shared" si="173"/>
        <v>18</v>
      </c>
      <c r="K87" s="118">
        <f t="shared" si="143"/>
        <v>80</v>
      </c>
      <c r="L87" s="118">
        <f t="shared" si="144"/>
        <v>0</v>
      </c>
      <c r="M87" s="118">
        <f t="shared" si="145"/>
        <v>18</v>
      </c>
      <c r="N87" s="609" t="str">
        <f t="shared" si="175"/>
        <v>162.1.1~162.12.31</v>
      </c>
      <c r="O87" s="610"/>
      <c r="P87" s="610"/>
      <c r="Q87" s="611"/>
      <c r="R87" s="292" t="str">
        <f t="shared" si="134"/>
        <v>65</v>
      </c>
      <c r="S87" s="338">
        <f t="shared" si="49"/>
        <v>100</v>
      </c>
      <c r="T87" s="339">
        <f t="shared" si="50"/>
        <v>80</v>
      </c>
      <c r="U87" s="204">
        <f t="shared" si="51"/>
        <v>180</v>
      </c>
      <c r="V87" s="149"/>
      <c r="W87" s="613">
        <f t="shared" si="176"/>
      </c>
      <c r="X87" s="614"/>
      <c r="Y87" s="614"/>
      <c r="Z87" s="615"/>
      <c r="AA87" s="262">
        <f t="shared" si="54"/>
      </c>
      <c r="AB87" s="318">
        <f t="shared" si="55"/>
      </c>
      <c r="AC87" s="318">
        <f t="shared" si="56"/>
      </c>
      <c r="AD87" s="220">
        <f t="shared" si="57"/>
      </c>
      <c r="AE87" s="262">
        <f t="shared" si="58"/>
      </c>
      <c r="AF87" s="231">
        <f t="shared" si="59"/>
      </c>
      <c r="AG87" s="310">
        <f t="shared" si="177"/>
      </c>
      <c r="AH87" s="227">
        <f t="shared" si="178"/>
      </c>
      <c r="AI87" s="320">
        <f t="shared" si="179"/>
      </c>
      <c r="AJ87" s="320">
        <f t="shared" si="180"/>
      </c>
      <c r="AK87" s="320">
        <f t="shared" si="181"/>
      </c>
      <c r="AL87" s="320">
        <f t="shared" si="182"/>
      </c>
      <c r="AM87" s="282">
        <f t="shared" si="183"/>
      </c>
      <c r="AN87" s="103"/>
      <c r="AO87" s="119">
        <f t="shared" si="146"/>
        <v>0</v>
      </c>
      <c r="AP87" s="119">
        <f t="shared" si="67"/>
        <v>1</v>
      </c>
      <c r="AQ87" s="119">
        <f t="shared" si="68"/>
        <v>1</v>
      </c>
      <c r="AR87" s="119">
        <f>IF(OR(AO87+AP87+AQ87+GG87&gt;0,SUM($AO$30:AQ86)+GG86&gt;0),1,0)</f>
        <v>1</v>
      </c>
      <c r="AS87" s="119">
        <f t="shared" si="147"/>
      </c>
      <c r="AT87" s="119" t="str">
        <f t="shared" si="69"/>
        <v>符合「年齡滿65歲、年資滿15年」之屆齡退休擇領月退休金條件</v>
      </c>
      <c r="AU87" s="119">
        <f t="shared" si="70"/>
      </c>
      <c r="AV87" s="380" t="str">
        <f t="shared" si="71"/>
        <v>符合「年齡滿65歲、年資滿15年」之屆齡退休擇領月退休金條件</v>
      </c>
      <c r="AW87" s="120">
        <f t="shared" si="148"/>
        <v>0</v>
      </c>
      <c r="AX87" s="120">
        <f t="shared" si="149"/>
        <v>1</v>
      </c>
      <c r="AY87" s="120" t="str">
        <f t="shared" si="174"/>
        <v>符合</v>
      </c>
      <c r="AZ87" s="120">
        <f t="shared" si="150"/>
        <v>100</v>
      </c>
      <c r="BA87" s="120">
        <f t="shared" si="151"/>
        <v>20731231</v>
      </c>
      <c r="BB87" s="120" t="str">
        <f t="shared" si="152"/>
        <v>162.1.1~162.12.31</v>
      </c>
      <c r="BC87" s="121">
        <f t="shared" si="73"/>
      </c>
      <c r="BD87" s="122">
        <f t="shared" si="74"/>
      </c>
      <c r="BE87" s="122"/>
      <c r="BF87" s="120"/>
      <c r="BG87" s="123">
        <f t="shared" si="75"/>
      </c>
      <c r="BH87" s="31">
        <f t="shared" si="76"/>
        <v>1</v>
      </c>
      <c r="BI87" s="7">
        <f t="shared" si="77"/>
        <v>1</v>
      </c>
      <c r="BJ87" s="7"/>
      <c r="BK87" s="124">
        <f t="shared" si="153"/>
        <v>0</v>
      </c>
      <c r="BL87" s="124">
        <f t="shared" si="79"/>
      </c>
      <c r="BM87" s="124">
        <f t="shared" si="80"/>
        <v>0</v>
      </c>
      <c r="BN87" s="124">
        <f t="shared" si="81"/>
      </c>
      <c r="BO87" s="124">
        <f t="shared" si="82"/>
        <v>0</v>
      </c>
      <c r="BP87" s="124">
        <f t="shared" si="12"/>
      </c>
      <c r="BQ87" s="33"/>
      <c r="BR87" s="33"/>
      <c r="BS87" s="33"/>
      <c r="BT87" s="33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4"/>
      <c r="CH87" s="34"/>
      <c r="CI87" s="34"/>
      <c r="CJ87" s="34"/>
      <c r="CK87" s="183">
        <f t="shared" si="154"/>
        <v>13</v>
      </c>
      <c r="CL87" s="7">
        <f t="shared" si="155"/>
        <v>12</v>
      </c>
      <c r="CM87" s="20">
        <f t="shared" si="156"/>
        <v>162</v>
      </c>
      <c r="CN87" s="382">
        <f t="shared" si="83"/>
        <v>63540</v>
      </c>
      <c r="CO87" s="185">
        <f t="shared" si="84"/>
        <v>12</v>
      </c>
      <c r="CP87" s="2">
        <f t="shared" si="138"/>
        <v>17</v>
      </c>
      <c r="CQ87" s="382">
        <f t="shared" si="85"/>
        <v>63536</v>
      </c>
      <c r="CR87" s="185">
        <f t="shared" si="135"/>
        <v>12</v>
      </c>
      <c r="CS87" s="2">
        <f t="shared" si="136"/>
        <v>13</v>
      </c>
      <c r="CT87" s="2" t="str">
        <f t="shared" si="139"/>
        <v>初任</v>
      </c>
      <c r="CU87" s="382">
        <f t="shared" si="87"/>
        <v>63536</v>
      </c>
      <c r="CV87" s="2">
        <f t="shared" si="140"/>
        <v>12</v>
      </c>
      <c r="CW87" s="2" t="str">
        <f t="shared" si="141"/>
        <v>生日</v>
      </c>
      <c r="CX87" s="382">
        <f t="shared" si="90"/>
        <v>63540</v>
      </c>
      <c r="CY87" s="2">
        <f t="shared" si="142"/>
        <v>12</v>
      </c>
      <c r="CZ87" s="2">
        <f t="shared" si="157"/>
        <v>0</v>
      </c>
      <c r="DA87" s="2">
        <f t="shared" si="92"/>
      </c>
      <c r="DB87" s="2">
        <f t="shared" si="158"/>
      </c>
      <c r="DC87" s="2">
        <f t="shared" si="93"/>
      </c>
      <c r="DD87" s="2">
        <f t="shared" si="94"/>
      </c>
      <c r="DE87" s="2">
        <f t="shared" si="95"/>
      </c>
      <c r="DF87" s="2">
        <f t="shared" si="24"/>
      </c>
      <c r="DG87" s="129">
        <f t="shared" si="25"/>
      </c>
      <c r="DH87" s="2">
        <f t="shared" si="159"/>
      </c>
      <c r="DI87" s="2">
        <f t="shared" si="96"/>
      </c>
      <c r="DJ87" s="129">
        <f t="shared" si="97"/>
      </c>
      <c r="DK87" s="2">
        <f t="shared" si="160"/>
      </c>
      <c r="DL87" s="2">
        <f t="shared" si="98"/>
      </c>
      <c r="DM87" s="129">
        <f t="shared" si="99"/>
      </c>
      <c r="DN87" s="2">
        <f t="shared" si="161"/>
      </c>
      <c r="DO87" s="2">
        <f t="shared" si="162"/>
      </c>
      <c r="DP87" s="129">
        <f t="shared" si="100"/>
      </c>
      <c r="DQ87" s="2">
        <f t="shared" si="163"/>
      </c>
      <c r="DR87" s="2">
        <f t="shared" si="164"/>
      </c>
      <c r="DS87" s="129">
        <f t="shared" si="101"/>
      </c>
      <c r="DT87" s="2">
        <f t="shared" si="165"/>
      </c>
      <c r="DU87" s="2">
        <f t="shared" si="166"/>
      </c>
      <c r="DV87" s="129">
        <f t="shared" si="102"/>
      </c>
      <c r="DW87" s="2">
        <f t="shared" si="103"/>
      </c>
      <c r="DX87" s="2">
        <f t="shared" si="104"/>
      </c>
      <c r="DY87" s="129">
        <f t="shared" si="105"/>
      </c>
      <c r="DZ87" s="129"/>
      <c r="EA87" s="21">
        <f t="shared" si="106"/>
      </c>
      <c r="EB87" s="382">
        <f t="shared" si="107"/>
        <v>401769</v>
      </c>
      <c r="EC87" s="382">
        <f t="shared" si="108"/>
        <v>401769</v>
      </c>
      <c r="ED87" s="2">
        <f t="shared" si="184"/>
      </c>
      <c r="EE87" s="382">
        <f t="shared" si="110"/>
        <v>401769</v>
      </c>
      <c r="EF87" s="382">
        <f t="shared" si="185"/>
      </c>
      <c r="EG87" s="382">
        <f t="shared" si="186"/>
      </c>
      <c r="EH87" s="382"/>
      <c r="EI87" s="382">
        <f t="shared" si="187"/>
      </c>
      <c r="EJ87" s="208">
        <f t="shared" si="34"/>
        <v>401769</v>
      </c>
      <c r="EK87" s="2">
        <f t="shared" si="114"/>
      </c>
      <c r="EL87" s="2">
        <f t="shared" si="167"/>
      </c>
      <c r="EM87" s="34"/>
      <c r="EN87" s="7">
        <f t="shared" si="168"/>
        <v>1</v>
      </c>
      <c r="EO87" s="124">
        <f t="shared" si="169"/>
        <v>0</v>
      </c>
      <c r="EP87" s="214" t="str">
        <f t="shared" si="170"/>
        <v>●</v>
      </c>
      <c r="EQ87" s="213" t="str">
        <f t="shared" si="171"/>
        <v>●</v>
      </c>
      <c r="ER87" s="213" t="e">
        <f t="shared" si="172"/>
        <v>#VALUE!</v>
      </c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2"/>
      <c r="FD87" s="20"/>
      <c r="FE87" s="20">
        <f t="shared" si="115"/>
        <v>162</v>
      </c>
      <c r="FF87" s="2">
        <f t="shared" si="116"/>
        <v>1</v>
      </c>
      <c r="FG87" s="2">
        <f t="shared" si="117"/>
        <v>1</v>
      </c>
      <c r="FH87" s="2">
        <f t="shared" si="118"/>
        <v>1</v>
      </c>
      <c r="FI87" s="2">
        <f t="shared" si="119"/>
        <v>1</v>
      </c>
      <c r="FJ87" s="20"/>
      <c r="FK87" s="326">
        <f t="shared" si="120"/>
        <v>0</v>
      </c>
      <c r="FL87" s="326">
        <f t="shared" si="121"/>
        <v>0</v>
      </c>
      <c r="FM87" s="326">
        <f t="shared" si="122"/>
        <v>0</v>
      </c>
      <c r="FN87" s="326">
        <f t="shared" si="123"/>
        <v>0</v>
      </c>
      <c r="FP87" s="326"/>
      <c r="FQ87" s="326"/>
      <c r="FR87" s="326"/>
      <c r="FS87" s="326"/>
      <c r="GF87" s="2">
        <v>65</v>
      </c>
      <c r="GG87" s="2">
        <f t="shared" si="128"/>
        <v>1</v>
      </c>
      <c r="GH87" s="2">
        <f t="shared" si="129"/>
      </c>
      <c r="GI87" s="20">
        <f t="shared" si="130"/>
      </c>
      <c r="GJ87" s="20"/>
      <c r="GK87" s="20">
        <f t="shared" si="131"/>
      </c>
    </row>
    <row r="88" spans="1:193" s="29" customFormat="1" ht="15.75" customHeight="1" hidden="1" thickBot="1" thickTop="1">
      <c r="A88" s="144"/>
      <c r="B88" s="150">
        <f t="shared" si="132"/>
        <v>163</v>
      </c>
      <c r="C88" s="26">
        <f t="shared" si="43"/>
        <v>20741231</v>
      </c>
      <c r="D88" s="26" t="str">
        <f t="shared" si="44"/>
        <v>2074</v>
      </c>
      <c r="E88" s="26" t="str">
        <f t="shared" si="45"/>
        <v>12</v>
      </c>
      <c r="F88" s="26" t="str">
        <f t="shared" si="46"/>
        <v>31</v>
      </c>
      <c r="G88" s="26" t="str">
        <f t="shared" si="47"/>
        <v>2074/12/31</v>
      </c>
      <c r="H88" s="117">
        <f t="shared" si="0"/>
        <v>81</v>
      </c>
      <c r="I88" s="117">
        <f t="shared" si="48"/>
        <v>0</v>
      </c>
      <c r="J88" s="26">
        <f t="shared" si="173"/>
        <v>18</v>
      </c>
      <c r="K88" s="118">
        <f t="shared" si="143"/>
        <v>81</v>
      </c>
      <c r="L88" s="118">
        <f t="shared" si="144"/>
        <v>0</v>
      </c>
      <c r="M88" s="118">
        <f t="shared" si="145"/>
        <v>18</v>
      </c>
      <c r="N88" s="609" t="str">
        <f t="shared" si="175"/>
        <v>163.1.1~163.12.31</v>
      </c>
      <c r="O88" s="610"/>
      <c r="P88" s="610"/>
      <c r="Q88" s="611"/>
      <c r="R88" s="292" t="str">
        <f t="shared" si="134"/>
        <v>65</v>
      </c>
      <c r="S88" s="338">
        <f t="shared" si="49"/>
        <v>101</v>
      </c>
      <c r="T88" s="339">
        <f t="shared" si="50"/>
        <v>81</v>
      </c>
      <c r="U88" s="204">
        <f t="shared" si="51"/>
        <v>182</v>
      </c>
      <c r="V88" s="149"/>
      <c r="W88" s="613">
        <f t="shared" si="176"/>
      </c>
      <c r="X88" s="614"/>
      <c r="Y88" s="614"/>
      <c r="Z88" s="615"/>
      <c r="AA88" s="262">
        <f t="shared" si="54"/>
      </c>
      <c r="AB88" s="318">
        <f t="shared" si="55"/>
      </c>
      <c r="AC88" s="318">
        <f t="shared" si="56"/>
      </c>
      <c r="AD88" s="220">
        <f t="shared" si="57"/>
      </c>
      <c r="AE88" s="262">
        <f t="shared" si="58"/>
      </c>
      <c r="AF88" s="231">
        <f t="shared" si="59"/>
      </c>
      <c r="AG88" s="310">
        <f t="shared" si="177"/>
      </c>
      <c r="AH88" s="227">
        <f t="shared" si="178"/>
      </c>
      <c r="AI88" s="320">
        <f t="shared" si="179"/>
      </c>
      <c r="AJ88" s="320">
        <f t="shared" si="180"/>
      </c>
      <c r="AK88" s="320">
        <f t="shared" si="181"/>
      </c>
      <c r="AL88" s="320">
        <f t="shared" si="182"/>
      </c>
      <c r="AM88" s="282">
        <f t="shared" si="183"/>
      </c>
      <c r="AN88" s="103"/>
      <c r="AO88" s="119">
        <f t="shared" si="146"/>
        <v>0</v>
      </c>
      <c r="AP88" s="119">
        <f t="shared" si="67"/>
        <v>1</v>
      </c>
      <c r="AQ88" s="119">
        <f t="shared" si="68"/>
        <v>1</v>
      </c>
      <c r="AR88" s="119">
        <f>IF(OR(AO88+AP88+AQ88+GG88&gt;0,SUM($AO$30:AQ87)+GG87&gt;0),1,0)</f>
        <v>1</v>
      </c>
      <c r="AS88" s="119">
        <f t="shared" si="147"/>
      </c>
      <c r="AT88" s="119" t="str">
        <f t="shared" si="69"/>
        <v>符合「年齡滿65歲、年資滿15年」之屆齡退休擇領月退休金條件</v>
      </c>
      <c r="AU88" s="119">
        <f t="shared" si="70"/>
      </c>
      <c r="AV88" s="380" t="str">
        <f t="shared" si="71"/>
        <v>符合「年齡滿65歲、年資滿15年」之屆齡退休擇領月退休金條件</v>
      </c>
      <c r="AW88" s="120">
        <f t="shared" si="148"/>
        <v>0</v>
      </c>
      <c r="AX88" s="120">
        <f t="shared" si="149"/>
        <v>1</v>
      </c>
      <c r="AY88" s="120" t="str">
        <f t="shared" si="174"/>
        <v>符合</v>
      </c>
      <c r="AZ88" s="120">
        <f t="shared" si="150"/>
        <v>101</v>
      </c>
      <c r="BA88" s="120">
        <f t="shared" si="151"/>
        <v>20741231</v>
      </c>
      <c r="BB88" s="120" t="str">
        <f t="shared" si="152"/>
        <v>163.1.1~163.12.31</v>
      </c>
      <c r="BC88" s="121">
        <f t="shared" si="73"/>
      </c>
      <c r="BD88" s="122">
        <f t="shared" si="74"/>
      </c>
      <c r="BE88" s="122"/>
      <c r="BF88" s="120"/>
      <c r="BG88" s="123">
        <f t="shared" si="75"/>
      </c>
      <c r="BH88" s="31">
        <f t="shared" si="76"/>
        <v>1</v>
      </c>
      <c r="BI88" s="7">
        <f t="shared" si="77"/>
        <v>1</v>
      </c>
      <c r="BJ88" s="7"/>
      <c r="BK88" s="124">
        <f t="shared" si="153"/>
        <v>0</v>
      </c>
      <c r="BL88" s="124">
        <f t="shared" si="79"/>
      </c>
      <c r="BM88" s="124">
        <f t="shared" si="80"/>
        <v>0</v>
      </c>
      <c r="BN88" s="124">
        <f t="shared" si="81"/>
      </c>
      <c r="BO88" s="124">
        <f t="shared" si="82"/>
        <v>0</v>
      </c>
      <c r="BP88" s="124">
        <f t="shared" si="12"/>
      </c>
      <c r="BQ88" s="33"/>
      <c r="BR88" s="33"/>
      <c r="BS88" s="33"/>
      <c r="BT88" s="33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4"/>
      <c r="CH88" s="34"/>
      <c r="CI88" s="34"/>
      <c r="CJ88" s="34"/>
      <c r="CK88" s="183">
        <f t="shared" si="154"/>
        <v>13</v>
      </c>
      <c r="CL88" s="7">
        <f t="shared" si="155"/>
        <v>12</v>
      </c>
      <c r="CM88" s="20">
        <f t="shared" si="156"/>
        <v>163</v>
      </c>
      <c r="CN88" s="382">
        <f t="shared" si="83"/>
        <v>63905</v>
      </c>
      <c r="CO88" s="185">
        <f t="shared" si="84"/>
        <v>12</v>
      </c>
      <c r="CP88" s="2">
        <f t="shared" si="138"/>
        <v>17</v>
      </c>
      <c r="CQ88" s="382">
        <f t="shared" si="85"/>
        <v>63901</v>
      </c>
      <c r="CR88" s="185">
        <f t="shared" si="135"/>
        <v>12</v>
      </c>
      <c r="CS88" s="2">
        <f t="shared" si="136"/>
        <v>13</v>
      </c>
      <c r="CT88" s="2" t="str">
        <f t="shared" si="139"/>
        <v>初任</v>
      </c>
      <c r="CU88" s="382">
        <f t="shared" si="87"/>
        <v>63901</v>
      </c>
      <c r="CV88" s="2">
        <f t="shared" si="140"/>
        <v>12</v>
      </c>
      <c r="CW88" s="2" t="str">
        <f t="shared" si="141"/>
        <v>生日</v>
      </c>
      <c r="CX88" s="382">
        <f t="shared" si="90"/>
        <v>63905</v>
      </c>
      <c r="CY88" s="2">
        <f t="shared" si="142"/>
        <v>12</v>
      </c>
      <c r="CZ88" s="2">
        <f t="shared" si="157"/>
        <v>0</v>
      </c>
      <c r="DA88" s="2">
        <f t="shared" si="92"/>
      </c>
      <c r="DB88" s="2">
        <f t="shared" si="158"/>
      </c>
      <c r="DC88" s="2">
        <f t="shared" si="93"/>
      </c>
      <c r="DD88" s="2">
        <f t="shared" si="94"/>
      </c>
      <c r="DE88" s="2">
        <f t="shared" si="95"/>
      </c>
      <c r="DF88" s="2">
        <f t="shared" si="24"/>
      </c>
      <c r="DG88" s="129">
        <f t="shared" si="25"/>
      </c>
      <c r="DH88" s="2">
        <f t="shared" si="159"/>
      </c>
      <c r="DI88" s="2">
        <f t="shared" si="96"/>
      </c>
      <c r="DJ88" s="129">
        <f t="shared" si="97"/>
      </c>
      <c r="DK88" s="2">
        <f t="shared" si="160"/>
      </c>
      <c r="DL88" s="2">
        <f t="shared" si="98"/>
      </c>
      <c r="DM88" s="129">
        <f t="shared" si="99"/>
      </c>
      <c r="DN88" s="2">
        <f t="shared" si="161"/>
      </c>
      <c r="DO88" s="2">
        <f t="shared" si="162"/>
      </c>
      <c r="DP88" s="129">
        <f t="shared" si="100"/>
      </c>
      <c r="DQ88" s="2">
        <f t="shared" si="163"/>
      </c>
      <c r="DR88" s="2">
        <f t="shared" si="164"/>
      </c>
      <c r="DS88" s="129">
        <f t="shared" si="101"/>
      </c>
      <c r="DT88" s="2">
        <f t="shared" si="165"/>
      </c>
      <c r="DU88" s="2">
        <f t="shared" si="166"/>
      </c>
      <c r="DV88" s="129">
        <f t="shared" si="102"/>
      </c>
      <c r="DW88" s="2">
        <f t="shared" si="103"/>
      </c>
      <c r="DX88" s="2">
        <f t="shared" si="104"/>
      </c>
      <c r="DY88" s="129">
        <f t="shared" si="105"/>
      </c>
      <c r="DZ88" s="129"/>
      <c r="EA88" s="21">
        <f t="shared" si="106"/>
      </c>
      <c r="EB88" s="382">
        <f t="shared" si="107"/>
        <v>401769</v>
      </c>
      <c r="EC88" s="382">
        <f t="shared" si="108"/>
        <v>401769</v>
      </c>
      <c r="ED88" s="2">
        <f t="shared" si="184"/>
      </c>
      <c r="EE88" s="382">
        <f t="shared" si="110"/>
        <v>401769</v>
      </c>
      <c r="EF88" s="382">
        <f t="shared" si="185"/>
      </c>
      <c r="EG88" s="382">
        <f t="shared" si="186"/>
      </c>
      <c r="EH88" s="382"/>
      <c r="EI88" s="382">
        <f t="shared" si="187"/>
      </c>
      <c r="EJ88" s="208">
        <f t="shared" si="34"/>
        <v>401769</v>
      </c>
      <c r="EK88" s="2">
        <f t="shared" si="114"/>
      </c>
      <c r="EL88" s="2">
        <f t="shared" si="167"/>
      </c>
      <c r="EM88" s="34"/>
      <c r="EN88" s="7">
        <f t="shared" si="168"/>
        <v>1</v>
      </c>
      <c r="EO88" s="124">
        <f t="shared" si="169"/>
        <v>0</v>
      </c>
      <c r="EP88" s="214" t="str">
        <f t="shared" si="170"/>
        <v>●</v>
      </c>
      <c r="EQ88" s="213" t="str">
        <f t="shared" si="171"/>
        <v>●</v>
      </c>
      <c r="ER88" s="213" t="e">
        <f t="shared" si="172"/>
        <v>#VALUE!</v>
      </c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2"/>
      <c r="FD88" s="20"/>
      <c r="FE88" s="20">
        <f t="shared" si="115"/>
        <v>163</v>
      </c>
      <c r="FF88" s="2">
        <f t="shared" si="116"/>
        <v>1</v>
      </c>
      <c r="FG88" s="2">
        <f t="shared" si="117"/>
        <v>1</v>
      </c>
      <c r="FH88" s="2">
        <f t="shared" si="118"/>
        <v>1</v>
      </c>
      <c r="FI88" s="2">
        <f t="shared" si="119"/>
        <v>1</v>
      </c>
      <c r="FJ88" s="20"/>
      <c r="FK88" s="326">
        <f t="shared" si="120"/>
        <v>0</v>
      </c>
      <c r="FL88" s="326">
        <f t="shared" si="121"/>
        <v>0</v>
      </c>
      <c r="FM88" s="326">
        <f t="shared" si="122"/>
        <v>0</v>
      </c>
      <c r="FN88" s="326">
        <f t="shared" si="123"/>
        <v>0</v>
      </c>
      <c r="FP88" s="326"/>
      <c r="FQ88" s="326"/>
      <c r="FR88" s="326"/>
      <c r="FS88" s="326"/>
      <c r="GF88" s="2">
        <v>65</v>
      </c>
      <c r="GG88" s="2">
        <f t="shared" si="128"/>
        <v>1</v>
      </c>
      <c r="GH88" s="2">
        <f t="shared" si="129"/>
      </c>
      <c r="GI88" s="20">
        <f t="shared" si="130"/>
      </c>
      <c r="GJ88" s="20"/>
      <c r="GK88" s="20">
        <f t="shared" si="131"/>
      </c>
    </row>
    <row r="89" spans="1:193" s="29" customFormat="1" ht="15.75" customHeight="1" hidden="1" thickBot="1" thickTop="1">
      <c r="A89" s="144"/>
      <c r="B89" s="150">
        <f t="shared" si="132"/>
        <v>164</v>
      </c>
      <c r="C89" s="26">
        <f t="shared" si="43"/>
        <v>20751231</v>
      </c>
      <c r="D89" s="26" t="str">
        <f t="shared" si="44"/>
        <v>2075</v>
      </c>
      <c r="E89" s="26" t="str">
        <f t="shared" si="45"/>
        <v>12</v>
      </c>
      <c r="F89" s="26" t="str">
        <f t="shared" si="46"/>
        <v>31</v>
      </c>
      <c r="G89" s="26" t="str">
        <f t="shared" si="47"/>
        <v>2075/12/31</v>
      </c>
      <c r="H89" s="117">
        <f t="shared" si="0"/>
        <v>82</v>
      </c>
      <c r="I89" s="117">
        <f t="shared" si="48"/>
        <v>0</v>
      </c>
      <c r="J89" s="26">
        <f t="shared" si="173"/>
        <v>18</v>
      </c>
      <c r="K89" s="118">
        <f t="shared" si="143"/>
        <v>82</v>
      </c>
      <c r="L89" s="118">
        <f t="shared" si="144"/>
        <v>0</v>
      </c>
      <c r="M89" s="118">
        <f t="shared" si="145"/>
        <v>18</v>
      </c>
      <c r="N89" s="609" t="str">
        <f t="shared" si="175"/>
        <v>164.1.1~164.12.31</v>
      </c>
      <c r="O89" s="610"/>
      <c r="P89" s="610"/>
      <c r="Q89" s="611"/>
      <c r="R89" s="292" t="str">
        <f t="shared" si="134"/>
        <v>65</v>
      </c>
      <c r="S89" s="338">
        <f t="shared" si="49"/>
        <v>102</v>
      </c>
      <c r="T89" s="339">
        <f t="shared" si="50"/>
        <v>82</v>
      </c>
      <c r="U89" s="204">
        <f t="shared" si="51"/>
        <v>184</v>
      </c>
      <c r="V89" s="149"/>
      <c r="W89" s="613">
        <f t="shared" si="176"/>
      </c>
      <c r="X89" s="614"/>
      <c r="Y89" s="614"/>
      <c r="Z89" s="615"/>
      <c r="AA89" s="262">
        <f t="shared" si="54"/>
      </c>
      <c r="AB89" s="318">
        <f t="shared" si="55"/>
      </c>
      <c r="AC89" s="318">
        <f t="shared" si="56"/>
      </c>
      <c r="AD89" s="220">
        <f t="shared" si="57"/>
      </c>
      <c r="AE89" s="262">
        <f t="shared" si="58"/>
      </c>
      <c r="AF89" s="231">
        <f t="shared" si="59"/>
      </c>
      <c r="AG89" s="310">
        <f t="shared" si="177"/>
      </c>
      <c r="AH89" s="227">
        <f t="shared" si="178"/>
      </c>
      <c r="AI89" s="320">
        <f t="shared" si="179"/>
      </c>
      <c r="AJ89" s="320">
        <f t="shared" si="180"/>
      </c>
      <c r="AK89" s="320">
        <f t="shared" si="181"/>
      </c>
      <c r="AL89" s="320">
        <f t="shared" si="182"/>
      </c>
      <c r="AM89" s="282">
        <f t="shared" si="183"/>
      </c>
      <c r="AN89" s="103"/>
      <c r="AO89" s="119">
        <f t="shared" si="146"/>
        <v>0</v>
      </c>
      <c r="AP89" s="119">
        <f t="shared" si="67"/>
        <v>1</v>
      </c>
      <c r="AQ89" s="119">
        <f t="shared" si="68"/>
        <v>1</v>
      </c>
      <c r="AR89" s="119">
        <f>IF(OR(AO89+AP89+AQ89+GG89&gt;0,SUM($AO$30:AQ88)+GG88&gt;0),1,0)</f>
        <v>1</v>
      </c>
      <c r="AS89" s="119">
        <f t="shared" si="147"/>
      </c>
      <c r="AT89" s="119" t="str">
        <f t="shared" si="69"/>
        <v>符合「年齡滿65歲、年資滿15年」之屆齡退休擇領月退休金條件</v>
      </c>
      <c r="AU89" s="119">
        <f t="shared" si="70"/>
      </c>
      <c r="AV89" s="380" t="str">
        <f t="shared" si="71"/>
        <v>符合「年齡滿65歲、年資滿15年」之屆齡退休擇領月退休金條件</v>
      </c>
      <c r="AW89" s="120">
        <f t="shared" si="148"/>
        <v>0</v>
      </c>
      <c r="AX89" s="120">
        <f t="shared" si="149"/>
        <v>1</v>
      </c>
      <c r="AY89" s="120" t="str">
        <f t="shared" si="174"/>
        <v>符合</v>
      </c>
      <c r="AZ89" s="120">
        <f t="shared" si="150"/>
        <v>102</v>
      </c>
      <c r="BA89" s="120">
        <f t="shared" si="151"/>
        <v>20751231</v>
      </c>
      <c r="BB89" s="120" t="str">
        <f t="shared" si="152"/>
        <v>164.1.1~164.12.31</v>
      </c>
      <c r="BC89" s="121">
        <f t="shared" si="73"/>
      </c>
      <c r="BD89" s="122">
        <f t="shared" si="74"/>
      </c>
      <c r="BE89" s="122"/>
      <c r="BF89" s="120"/>
      <c r="BG89" s="123">
        <f t="shared" si="75"/>
      </c>
      <c r="BH89" s="31">
        <f t="shared" si="76"/>
        <v>1</v>
      </c>
      <c r="BI89" s="7">
        <f t="shared" si="77"/>
        <v>1</v>
      </c>
      <c r="BJ89" s="7"/>
      <c r="BK89" s="124">
        <f t="shared" si="153"/>
        <v>0</v>
      </c>
      <c r="BL89" s="124">
        <f t="shared" si="79"/>
      </c>
      <c r="BM89" s="124">
        <f t="shared" si="80"/>
        <v>0</v>
      </c>
      <c r="BN89" s="124">
        <f t="shared" si="81"/>
      </c>
      <c r="BO89" s="124">
        <f t="shared" si="82"/>
        <v>0</v>
      </c>
      <c r="BP89" s="124">
        <f t="shared" si="12"/>
      </c>
      <c r="BQ89" s="33"/>
      <c r="BR89" s="33"/>
      <c r="BS89" s="33"/>
      <c r="BT89" s="33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4"/>
      <c r="CH89" s="34"/>
      <c r="CI89" s="34"/>
      <c r="CJ89" s="34"/>
      <c r="CK89" s="183">
        <f t="shared" si="154"/>
        <v>13</v>
      </c>
      <c r="CL89" s="7">
        <f t="shared" si="155"/>
        <v>12</v>
      </c>
      <c r="CM89" s="20">
        <f t="shared" si="156"/>
        <v>164</v>
      </c>
      <c r="CN89" s="382">
        <f t="shared" si="83"/>
        <v>64270</v>
      </c>
      <c r="CO89" s="185">
        <f t="shared" si="84"/>
        <v>12</v>
      </c>
      <c r="CP89" s="2">
        <f t="shared" si="138"/>
        <v>17</v>
      </c>
      <c r="CQ89" s="382">
        <f t="shared" si="85"/>
        <v>64266</v>
      </c>
      <c r="CR89" s="185">
        <f t="shared" si="135"/>
        <v>12</v>
      </c>
      <c r="CS89" s="2">
        <f t="shared" si="136"/>
        <v>13</v>
      </c>
      <c r="CT89" s="2" t="str">
        <f t="shared" si="139"/>
        <v>初任</v>
      </c>
      <c r="CU89" s="382">
        <f t="shared" si="87"/>
        <v>64266</v>
      </c>
      <c r="CV89" s="2">
        <f t="shared" si="140"/>
        <v>12</v>
      </c>
      <c r="CW89" s="2" t="str">
        <f t="shared" si="141"/>
        <v>生日</v>
      </c>
      <c r="CX89" s="382">
        <f t="shared" si="90"/>
        <v>64270</v>
      </c>
      <c r="CY89" s="2">
        <f t="shared" si="142"/>
        <v>12</v>
      </c>
      <c r="CZ89" s="2">
        <f t="shared" si="157"/>
        <v>0</v>
      </c>
      <c r="DA89" s="2">
        <f t="shared" si="92"/>
      </c>
      <c r="DB89" s="2">
        <f t="shared" si="158"/>
      </c>
      <c r="DC89" s="2">
        <f t="shared" si="93"/>
      </c>
      <c r="DD89" s="2">
        <f t="shared" si="94"/>
      </c>
      <c r="DE89" s="2">
        <f t="shared" si="95"/>
      </c>
      <c r="DF89" s="2">
        <f t="shared" si="24"/>
      </c>
      <c r="DG89" s="129">
        <f t="shared" si="25"/>
      </c>
      <c r="DH89" s="2">
        <f t="shared" si="159"/>
      </c>
      <c r="DI89" s="2">
        <f t="shared" si="96"/>
      </c>
      <c r="DJ89" s="129">
        <f t="shared" si="97"/>
      </c>
      <c r="DK89" s="2">
        <f t="shared" si="160"/>
      </c>
      <c r="DL89" s="2">
        <f t="shared" si="98"/>
      </c>
      <c r="DM89" s="129">
        <f t="shared" si="99"/>
      </c>
      <c r="DN89" s="2">
        <f t="shared" si="161"/>
      </c>
      <c r="DO89" s="2">
        <f t="shared" si="162"/>
      </c>
      <c r="DP89" s="129">
        <f t="shared" si="100"/>
      </c>
      <c r="DQ89" s="2">
        <f t="shared" si="163"/>
      </c>
      <c r="DR89" s="2">
        <f t="shared" si="164"/>
      </c>
      <c r="DS89" s="129">
        <f t="shared" si="101"/>
      </c>
      <c r="DT89" s="2">
        <f t="shared" si="165"/>
      </c>
      <c r="DU89" s="2">
        <f t="shared" si="166"/>
      </c>
      <c r="DV89" s="129">
        <f t="shared" si="102"/>
      </c>
      <c r="DW89" s="2">
        <f t="shared" si="103"/>
      </c>
      <c r="DX89" s="2">
        <f t="shared" si="104"/>
      </c>
      <c r="DY89" s="129">
        <f t="shared" si="105"/>
      </c>
      <c r="DZ89" s="129"/>
      <c r="EA89" s="21">
        <f t="shared" si="106"/>
      </c>
      <c r="EB89" s="382">
        <f t="shared" si="107"/>
        <v>401769</v>
      </c>
      <c r="EC89" s="382">
        <f t="shared" si="108"/>
        <v>401769</v>
      </c>
      <c r="ED89" s="2">
        <f t="shared" si="184"/>
      </c>
      <c r="EE89" s="382">
        <f t="shared" si="110"/>
        <v>401769</v>
      </c>
      <c r="EF89" s="382">
        <f t="shared" si="185"/>
      </c>
      <c r="EG89" s="382">
        <f t="shared" si="186"/>
      </c>
      <c r="EH89" s="382"/>
      <c r="EI89" s="382">
        <f t="shared" si="187"/>
      </c>
      <c r="EJ89" s="208">
        <f t="shared" si="34"/>
        <v>401769</v>
      </c>
      <c r="EK89" s="2">
        <f t="shared" si="114"/>
      </c>
      <c r="EL89" s="2">
        <f t="shared" si="167"/>
      </c>
      <c r="EM89" s="34"/>
      <c r="EN89" s="7">
        <f t="shared" si="168"/>
        <v>1</v>
      </c>
      <c r="EO89" s="124">
        <f t="shared" si="169"/>
        <v>0</v>
      </c>
      <c r="EP89" s="214" t="str">
        <f t="shared" si="170"/>
        <v>●</v>
      </c>
      <c r="EQ89" s="213" t="str">
        <f t="shared" si="171"/>
        <v>●</v>
      </c>
      <c r="ER89" s="213" t="e">
        <f t="shared" si="172"/>
        <v>#VALUE!</v>
      </c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2"/>
      <c r="FD89" s="20"/>
      <c r="FE89" s="20">
        <f t="shared" si="115"/>
        <v>164</v>
      </c>
      <c r="FF89" s="2">
        <f t="shared" si="116"/>
        <v>1</v>
      </c>
      <c r="FG89" s="2">
        <f t="shared" si="117"/>
        <v>1</v>
      </c>
      <c r="FH89" s="2">
        <f t="shared" si="118"/>
        <v>1</v>
      </c>
      <c r="FI89" s="2">
        <f t="shared" si="119"/>
        <v>1</v>
      </c>
      <c r="FJ89" s="20"/>
      <c r="FK89" s="326">
        <f t="shared" si="120"/>
        <v>0</v>
      </c>
      <c r="FL89" s="326">
        <f t="shared" si="121"/>
        <v>0</v>
      </c>
      <c r="FM89" s="326">
        <f t="shared" si="122"/>
        <v>0</v>
      </c>
      <c r="FN89" s="326">
        <f t="shared" si="123"/>
        <v>0</v>
      </c>
      <c r="FP89" s="326"/>
      <c r="FQ89" s="326"/>
      <c r="FR89" s="326"/>
      <c r="FS89" s="326"/>
      <c r="GF89" s="2">
        <v>65</v>
      </c>
      <c r="GG89" s="2">
        <f t="shared" si="128"/>
        <v>1</v>
      </c>
      <c r="GH89" s="2">
        <f t="shared" si="129"/>
      </c>
      <c r="GI89" s="20">
        <f t="shared" si="130"/>
      </c>
      <c r="GJ89" s="20"/>
      <c r="GK89" s="20">
        <f t="shared" si="131"/>
      </c>
    </row>
    <row r="90" spans="1:193" s="29" customFormat="1" ht="15.75" customHeight="1" hidden="1" thickBot="1" thickTop="1">
      <c r="A90" s="144"/>
      <c r="B90" s="150">
        <f t="shared" si="132"/>
        <v>165</v>
      </c>
      <c r="C90" s="26">
        <f t="shared" si="43"/>
        <v>20761231</v>
      </c>
      <c r="D90" s="26" t="str">
        <f t="shared" si="44"/>
        <v>2076</v>
      </c>
      <c r="E90" s="26" t="str">
        <f t="shared" si="45"/>
        <v>12</v>
      </c>
      <c r="F90" s="26" t="str">
        <f t="shared" si="46"/>
        <v>31</v>
      </c>
      <c r="G90" s="26" t="str">
        <f t="shared" si="47"/>
        <v>2076/12/31</v>
      </c>
      <c r="H90" s="117">
        <f t="shared" si="0"/>
        <v>83</v>
      </c>
      <c r="I90" s="117">
        <f t="shared" si="48"/>
        <v>0</v>
      </c>
      <c r="J90" s="26">
        <f t="shared" si="173"/>
        <v>18</v>
      </c>
      <c r="K90" s="118">
        <f t="shared" si="143"/>
        <v>83</v>
      </c>
      <c r="L90" s="118">
        <f t="shared" si="144"/>
        <v>0</v>
      </c>
      <c r="M90" s="118">
        <f t="shared" si="145"/>
        <v>18</v>
      </c>
      <c r="N90" s="609" t="str">
        <f t="shared" si="175"/>
        <v>165.1.1~165.12.31</v>
      </c>
      <c r="O90" s="610"/>
      <c r="P90" s="610"/>
      <c r="Q90" s="611"/>
      <c r="R90" s="292" t="str">
        <f t="shared" si="134"/>
        <v>65</v>
      </c>
      <c r="S90" s="338">
        <f t="shared" si="49"/>
        <v>103</v>
      </c>
      <c r="T90" s="339">
        <f t="shared" si="50"/>
        <v>83</v>
      </c>
      <c r="U90" s="204">
        <f t="shared" si="51"/>
        <v>186</v>
      </c>
      <c r="V90" s="149"/>
      <c r="W90" s="613">
        <f t="shared" si="176"/>
      </c>
      <c r="X90" s="614"/>
      <c r="Y90" s="614"/>
      <c r="Z90" s="615"/>
      <c r="AA90" s="262">
        <f t="shared" si="54"/>
      </c>
      <c r="AB90" s="318">
        <f t="shared" si="55"/>
      </c>
      <c r="AC90" s="318">
        <f t="shared" si="56"/>
      </c>
      <c r="AD90" s="220">
        <f t="shared" si="57"/>
      </c>
      <c r="AE90" s="262">
        <f t="shared" si="58"/>
      </c>
      <c r="AF90" s="231">
        <f t="shared" si="59"/>
      </c>
      <c r="AG90" s="310">
        <f t="shared" si="177"/>
      </c>
      <c r="AH90" s="227">
        <f t="shared" si="178"/>
      </c>
      <c r="AI90" s="320">
        <f t="shared" si="179"/>
      </c>
      <c r="AJ90" s="320">
        <f t="shared" si="180"/>
      </c>
      <c r="AK90" s="320">
        <f t="shared" si="181"/>
      </c>
      <c r="AL90" s="320">
        <f t="shared" si="182"/>
      </c>
      <c r="AM90" s="282">
        <f t="shared" si="183"/>
      </c>
      <c r="AN90" s="103"/>
      <c r="AO90" s="119">
        <f t="shared" si="146"/>
        <v>0</v>
      </c>
      <c r="AP90" s="119">
        <f t="shared" si="67"/>
        <v>1</v>
      </c>
      <c r="AQ90" s="119">
        <f t="shared" si="68"/>
        <v>1</v>
      </c>
      <c r="AR90" s="119">
        <f>IF(OR(AO90+AP90+AQ90+GG90&gt;0,SUM($AO$30:AQ89)+GG89&gt;0),1,0)</f>
        <v>1</v>
      </c>
      <c r="AS90" s="119">
        <f t="shared" si="147"/>
      </c>
      <c r="AT90" s="119" t="str">
        <f t="shared" si="69"/>
        <v>符合「年齡滿65歲、年資滿15年」之屆齡退休擇領月退休金條件</v>
      </c>
      <c r="AU90" s="119">
        <f t="shared" si="70"/>
      </c>
      <c r="AV90" s="380" t="str">
        <f t="shared" si="71"/>
        <v>符合「年齡滿65歲、年資滿15年」之屆齡退休擇領月退休金條件</v>
      </c>
      <c r="AW90" s="120">
        <f t="shared" si="148"/>
        <v>0</v>
      </c>
      <c r="AX90" s="120">
        <f t="shared" si="149"/>
        <v>1</v>
      </c>
      <c r="AY90" s="120" t="str">
        <f t="shared" si="174"/>
        <v>符合</v>
      </c>
      <c r="AZ90" s="120">
        <f t="shared" si="150"/>
        <v>103</v>
      </c>
      <c r="BA90" s="120">
        <f t="shared" si="151"/>
        <v>20761231</v>
      </c>
      <c r="BB90" s="120" t="str">
        <f t="shared" si="152"/>
        <v>165.1.1~165.12.31</v>
      </c>
      <c r="BC90" s="121">
        <f t="shared" si="73"/>
      </c>
      <c r="BD90" s="122">
        <f t="shared" si="74"/>
      </c>
      <c r="BE90" s="122"/>
      <c r="BF90" s="120"/>
      <c r="BG90" s="123">
        <f t="shared" si="75"/>
      </c>
      <c r="BH90" s="31">
        <f t="shared" si="76"/>
        <v>1</v>
      </c>
      <c r="BI90" s="7">
        <f t="shared" si="77"/>
        <v>1</v>
      </c>
      <c r="BJ90" s="7"/>
      <c r="BK90" s="124">
        <f t="shared" si="153"/>
        <v>0</v>
      </c>
      <c r="BL90" s="124">
        <f t="shared" si="79"/>
      </c>
      <c r="BM90" s="124">
        <f t="shared" si="80"/>
        <v>0</v>
      </c>
      <c r="BN90" s="124">
        <f t="shared" si="81"/>
      </c>
      <c r="BO90" s="124">
        <f t="shared" si="82"/>
        <v>0</v>
      </c>
      <c r="BP90" s="124">
        <f t="shared" si="12"/>
      </c>
      <c r="BQ90" s="33"/>
      <c r="BR90" s="33"/>
      <c r="BS90" s="33"/>
      <c r="BT90" s="33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4"/>
      <c r="CH90" s="34"/>
      <c r="CI90" s="34"/>
      <c r="CJ90" s="34"/>
      <c r="CK90" s="183">
        <f t="shared" si="154"/>
        <v>13</v>
      </c>
      <c r="CL90" s="7">
        <f t="shared" si="155"/>
        <v>12</v>
      </c>
      <c r="CM90" s="20">
        <f t="shared" si="156"/>
        <v>165</v>
      </c>
      <c r="CN90" s="382">
        <f t="shared" si="83"/>
        <v>64636</v>
      </c>
      <c r="CO90" s="185">
        <f t="shared" si="84"/>
        <v>12</v>
      </c>
      <c r="CP90" s="2">
        <f t="shared" si="138"/>
        <v>17</v>
      </c>
      <c r="CQ90" s="382">
        <f t="shared" si="85"/>
        <v>64632</v>
      </c>
      <c r="CR90" s="185">
        <f t="shared" si="135"/>
        <v>12</v>
      </c>
      <c r="CS90" s="2">
        <f t="shared" si="136"/>
        <v>13</v>
      </c>
      <c r="CT90" s="2" t="str">
        <f t="shared" si="139"/>
        <v>初任</v>
      </c>
      <c r="CU90" s="382">
        <f t="shared" si="87"/>
        <v>64632</v>
      </c>
      <c r="CV90" s="2">
        <f t="shared" si="140"/>
        <v>12</v>
      </c>
      <c r="CW90" s="2" t="str">
        <f t="shared" si="141"/>
        <v>生日</v>
      </c>
      <c r="CX90" s="382">
        <f t="shared" si="90"/>
        <v>64636</v>
      </c>
      <c r="CY90" s="2">
        <f t="shared" si="142"/>
        <v>12</v>
      </c>
      <c r="CZ90" s="2">
        <f t="shared" si="157"/>
        <v>0</v>
      </c>
      <c r="DA90" s="2">
        <f t="shared" si="92"/>
      </c>
      <c r="DB90" s="2">
        <f t="shared" si="158"/>
      </c>
      <c r="DC90" s="2">
        <f t="shared" si="93"/>
      </c>
      <c r="DD90" s="2">
        <f t="shared" si="94"/>
      </c>
      <c r="DE90" s="2">
        <f t="shared" si="95"/>
      </c>
      <c r="DF90" s="2">
        <f t="shared" si="24"/>
      </c>
      <c r="DG90" s="129">
        <f t="shared" si="25"/>
      </c>
      <c r="DH90" s="2">
        <f t="shared" si="159"/>
      </c>
      <c r="DI90" s="2">
        <f t="shared" si="96"/>
      </c>
      <c r="DJ90" s="129">
        <f t="shared" si="97"/>
      </c>
      <c r="DK90" s="2">
        <f t="shared" si="160"/>
      </c>
      <c r="DL90" s="2">
        <f t="shared" si="98"/>
      </c>
      <c r="DM90" s="129">
        <f t="shared" si="99"/>
      </c>
      <c r="DN90" s="2">
        <f t="shared" si="161"/>
      </c>
      <c r="DO90" s="2">
        <f t="shared" si="162"/>
      </c>
      <c r="DP90" s="129">
        <f t="shared" si="100"/>
      </c>
      <c r="DQ90" s="2">
        <f t="shared" si="163"/>
      </c>
      <c r="DR90" s="2">
        <f t="shared" si="164"/>
      </c>
      <c r="DS90" s="129">
        <f t="shared" si="101"/>
      </c>
      <c r="DT90" s="2">
        <f t="shared" si="165"/>
      </c>
      <c r="DU90" s="2">
        <f t="shared" si="166"/>
      </c>
      <c r="DV90" s="129">
        <f t="shared" si="102"/>
      </c>
      <c r="DW90" s="2">
        <f t="shared" si="103"/>
      </c>
      <c r="DX90" s="2">
        <f t="shared" si="104"/>
      </c>
      <c r="DY90" s="129">
        <f t="shared" si="105"/>
      </c>
      <c r="DZ90" s="129"/>
      <c r="EA90" s="21">
        <f t="shared" si="106"/>
      </c>
      <c r="EB90" s="382">
        <f t="shared" si="107"/>
        <v>401769</v>
      </c>
      <c r="EC90" s="382">
        <f t="shared" si="108"/>
        <v>401769</v>
      </c>
      <c r="ED90" s="2">
        <f t="shared" si="184"/>
      </c>
      <c r="EE90" s="382">
        <f t="shared" si="110"/>
        <v>401769</v>
      </c>
      <c r="EF90" s="382">
        <f t="shared" si="185"/>
      </c>
      <c r="EG90" s="382">
        <f t="shared" si="186"/>
      </c>
      <c r="EH90" s="382"/>
      <c r="EI90" s="382">
        <f t="shared" si="187"/>
      </c>
      <c r="EJ90" s="208">
        <f t="shared" si="34"/>
        <v>401769</v>
      </c>
      <c r="EK90" s="2">
        <f t="shared" si="114"/>
      </c>
      <c r="EL90" s="2">
        <f t="shared" si="167"/>
      </c>
      <c r="EM90" s="34"/>
      <c r="EN90" s="7">
        <f t="shared" si="168"/>
        <v>1</v>
      </c>
      <c r="EO90" s="124">
        <f t="shared" si="169"/>
        <v>0</v>
      </c>
      <c r="EP90" s="214" t="str">
        <f t="shared" si="170"/>
        <v>●</v>
      </c>
      <c r="EQ90" s="213" t="str">
        <f t="shared" si="171"/>
        <v>●</v>
      </c>
      <c r="ER90" s="213" t="e">
        <f t="shared" si="172"/>
        <v>#VALUE!</v>
      </c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2"/>
      <c r="FD90" s="20"/>
      <c r="FE90" s="20">
        <f t="shared" si="115"/>
        <v>165</v>
      </c>
      <c r="FF90" s="2">
        <f t="shared" si="116"/>
        <v>1</v>
      </c>
      <c r="FG90" s="2">
        <f t="shared" si="117"/>
        <v>1</v>
      </c>
      <c r="FH90" s="2">
        <f t="shared" si="118"/>
        <v>1</v>
      </c>
      <c r="FI90" s="2">
        <f t="shared" si="119"/>
        <v>1</v>
      </c>
      <c r="FJ90" s="20"/>
      <c r="FK90" s="326">
        <f t="shared" si="120"/>
        <v>0</v>
      </c>
      <c r="FL90" s="326">
        <f t="shared" si="121"/>
        <v>0</v>
      </c>
      <c r="FM90" s="326">
        <f t="shared" si="122"/>
        <v>0</v>
      </c>
      <c r="FN90" s="326">
        <f t="shared" si="123"/>
        <v>0</v>
      </c>
      <c r="FP90" s="326"/>
      <c r="FQ90" s="326"/>
      <c r="FR90" s="326"/>
      <c r="FS90" s="326"/>
      <c r="GF90" s="2">
        <v>65</v>
      </c>
      <c r="GG90" s="2">
        <f t="shared" si="128"/>
        <v>1</v>
      </c>
      <c r="GH90" s="2">
        <f t="shared" si="129"/>
      </c>
      <c r="GI90" s="20">
        <f t="shared" si="130"/>
      </c>
      <c r="GJ90" s="20"/>
      <c r="GK90" s="20">
        <f t="shared" si="131"/>
      </c>
    </row>
    <row r="91" spans="1:193" s="29" customFormat="1" ht="15.75" customHeight="1" hidden="1" thickBot="1" thickTop="1">
      <c r="A91" s="144"/>
      <c r="B91" s="150">
        <f t="shared" si="132"/>
        <v>166</v>
      </c>
      <c r="C91" s="26">
        <f t="shared" si="43"/>
        <v>20771231</v>
      </c>
      <c r="D91" s="26" t="str">
        <f t="shared" si="44"/>
        <v>2077</v>
      </c>
      <c r="E91" s="26" t="str">
        <f t="shared" si="45"/>
        <v>12</v>
      </c>
      <c r="F91" s="26" t="str">
        <f t="shared" si="46"/>
        <v>31</v>
      </c>
      <c r="G91" s="26" t="str">
        <f t="shared" si="47"/>
        <v>2077/12/31</v>
      </c>
      <c r="H91" s="117">
        <f t="shared" si="0"/>
        <v>84</v>
      </c>
      <c r="I91" s="117">
        <f t="shared" si="48"/>
        <v>0</v>
      </c>
      <c r="J91" s="26">
        <f t="shared" si="173"/>
        <v>18</v>
      </c>
      <c r="K91" s="118">
        <f t="shared" si="143"/>
        <v>84</v>
      </c>
      <c r="L91" s="118">
        <f t="shared" si="144"/>
        <v>0</v>
      </c>
      <c r="M91" s="118">
        <f t="shared" si="145"/>
        <v>18</v>
      </c>
      <c r="N91" s="609" t="str">
        <f t="shared" si="175"/>
        <v>166.1.1~166.12.31</v>
      </c>
      <c r="O91" s="610"/>
      <c r="P91" s="610"/>
      <c r="Q91" s="611"/>
      <c r="R91" s="292" t="str">
        <f t="shared" si="134"/>
        <v>65</v>
      </c>
      <c r="S91" s="338">
        <f t="shared" si="49"/>
        <v>104</v>
      </c>
      <c r="T91" s="339">
        <f t="shared" si="50"/>
        <v>84</v>
      </c>
      <c r="U91" s="204">
        <f t="shared" si="51"/>
        <v>188</v>
      </c>
      <c r="V91" s="149"/>
      <c r="W91" s="613">
        <f t="shared" si="176"/>
      </c>
      <c r="X91" s="614"/>
      <c r="Y91" s="614"/>
      <c r="Z91" s="615"/>
      <c r="AA91" s="262">
        <f t="shared" si="54"/>
      </c>
      <c r="AB91" s="318">
        <f t="shared" si="55"/>
      </c>
      <c r="AC91" s="318">
        <f t="shared" si="56"/>
      </c>
      <c r="AD91" s="220">
        <f t="shared" si="57"/>
      </c>
      <c r="AE91" s="262">
        <f t="shared" si="58"/>
      </c>
      <c r="AF91" s="231">
        <f t="shared" si="59"/>
      </c>
      <c r="AG91" s="310">
        <f t="shared" si="177"/>
      </c>
      <c r="AH91" s="227">
        <f t="shared" si="178"/>
      </c>
      <c r="AI91" s="320">
        <f t="shared" si="179"/>
      </c>
      <c r="AJ91" s="320">
        <f t="shared" si="180"/>
      </c>
      <c r="AK91" s="320">
        <f t="shared" si="181"/>
      </c>
      <c r="AL91" s="320">
        <f t="shared" si="182"/>
      </c>
      <c r="AM91" s="282">
        <f t="shared" si="183"/>
      </c>
      <c r="AN91" s="103"/>
      <c r="AO91" s="119">
        <f t="shared" si="146"/>
        <v>0</v>
      </c>
      <c r="AP91" s="119">
        <f t="shared" si="67"/>
        <v>1</v>
      </c>
      <c r="AQ91" s="119">
        <f t="shared" si="68"/>
        <v>1</v>
      </c>
      <c r="AR91" s="119">
        <f>IF(OR(AO91+AP91+AQ91+GG91&gt;0,SUM($AO$30:AQ90)+GG90&gt;0),1,0)</f>
        <v>1</v>
      </c>
      <c r="AS91" s="119">
        <f t="shared" si="147"/>
      </c>
      <c r="AT91" s="119" t="str">
        <f t="shared" si="69"/>
        <v>符合「年齡滿65歲、年資滿15年」之屆齡退休擇領月退休金條件</v>
      </c>
      <c r="AU91" s="119">
        <f t="shared" si="70"/>
      </c>
      <c r="AV91" s="380" t="str">
        <f t="shared" si="71"/>
        <v>符合「年齡滿65歲、年資滿15年」之屆齡退休擇領月退休金條件</v>
      </c>
      <c r="AW91" s="120">
        <f t="shared" si="148"/>
        <v>0</v>
      </c>
      <c r="AX91" s="120">
        <f t="shared" si="149"/>
        <v>1</v>
      </c>
      <c r="AY91" s="120" t="str">
        <f t="shared" si="174"/>
        <v>符合</v>
      </c>
      <c r="AZ91" s="120">
        <f t="shared" si="150"/>
        <v>104</v>
      </c>
      <c r="BA91" s="120">
        <f t="shared" si="151"/>
        <v>20771231</v>
      </c>
      <c r="BB91" s="120" t="str">
        <f t="shared" si="152"/>
        <v>166.1.1~166.12.31</v>
      </c>
      <c r="BC91" s="121">
        <f t="shared" si="73"/>
      </c>
      <c r="BD91" s="122">
        <f t="shared" si="74"/>
      </c>
      <c r="BE91" s="122"/>
      <c r="BF91" s="120"/>
      <c r="BG91" s="123">
        <f t="shared" si="75"/>
      </c>
      <c r="BH91" s="31">
        <f t="shared" si="76"/>
        <v>1</v>
      </c>
      <c r="BI91" s="7">
        <f t="shared" si="77"/>
        <v>1</v>
      </c>
      <c r="BJ91" s="7"/>
      <c r="BK91" s="124">
        <f t="shared" si="153"/>
        <v>0</v>
      </c>
      <c r="BL91" s="124">
        <f t="shared" si="79"/>
      </c>
      <c r="BM91" s="124">
        <f t="shared" si="80"/>
        <v>0</v>
      </c>
      <c r="BN91" s="124">
        <f t="shared" si="81"/>
      </c>
      <c r="BO91" s="124">
        <f t="shared" si="82"/>
        <v>0</v>
      </c>
      <c r="BP91" s="124">
        <f t="shared" si="12"/>
      </c>
      <c r="BQ91" s="33"/>
      <c r="BR91" s="33"/>
      <c r="BS91" s="33"/>
      <c r="BT91" s="33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4"/>
      <c r="CH91" s="34"/>
      <c r="CI91" s="34"/>
      <c r="CJ91" s="34"/>
      <c r="CK91" s="183">
        <f t="shared" si="154"/>
        <v>13</v>
      </c>
      <c r="CL91" s="7">
        <f t="shared" si="155"/>
        <v>12</v>
      </c>
      <c r="CM91" s="20">
        <f t="shared" si="156"/>
        <v>166</v>
      </c>
      <c r="CN91" s="382">
        <f t="shared" si="83"/>
        <v>65001</v>
      </c>
      <c r="CO91" s="185">
        <f t="shared" si="84"/>
        <v>12</v>
      </c>
      <c r="CP91" s="2">
        <f t="shared" si="138"/>
        <v>17</v>
      </c>
      <c r="CQ91" s="382">
        <f t="shared" si="85"/>
        <v>64997</v>
      </c>
      <c r="CR91" s="185">
        <f t="shared" si="135"/>
        <v>12</v>
      </c>
      <c r="CS91" s="2">
        <f t="shared" si="136"/>
        <v>13</v>
      </c>
      <c r="CT91" s="2" t="str">
        <f t="shared" si="139"/>
        <v>初任</v>
      </c>
      <c r="CU91" s="382">
        <f t="shared" si="87"/>
        <v>64997</v>
      </c>
      <c r="CV91" s="2">
        <f t="shared" si="140"/>
        <v>12</v>
      </c>
      <c r="CW91" s="2" t="str">
        <f t="shared" si="141"/>
        <v>生日</v>
      </c>
      <c r="CX91" s="382">
        <f t="shared" si="90"/>
        <v>65001</v>
      </c>
      <c r="CY91" s="2">
        <f t="shared" si="142"/>
        <v>12</v>
      </c>
      <c r="CZ91" s="2">
        <f t="shared" si="157"/>
        <v>0</v>
      </c>
      <c r="DA91" s="2">
        <f t="shared" si="92"/>
      </c>
      <c r="DB91" s="2">
        <f t="shared" si="158"/>
      </c>
      <c r="DC91" s="2">
        <f t="shared" si="93"/>
      </c>
      <c r="DD91" s="2">
        <f t="shared" si="94"/>
      </c>
      <c r="DE91" s="2">
        <f t="shared" si="95"/>
      </c>
      <c r="DF91" s="2">
        <f t="shared" si="24"/>
      </c>
      <c r="DG91" s="129">
        <f t="shared" si="25"/>
      </c>
      <c r="DH91" s="2">
        <f t="shared" si="159"/>
      </c>
      <c r="DI91" s="2">
        <f t="shared" si="96"/>
      </c>
      <c r="DJ91" s="129">
        <f t="shared" si="97"/>
      </c>
      <c r="DK91" s="2">
        <f t="shared" si="160"/>
      </c>
      <c r="DL91" s="2">
        <f t="shared" si="98"/>
      </c>
      <c r="DM91" s="129">
        <f t="shared" si="99"/>
      </c>
      <c r="DN91" s="2">
        <f t="shared" si="161"/>
      </c>
      <c r="DO91" s="2">
        <f t="shared" si="162"/>
      </c>
      <c r="DP91" s="129">
        <f t="shared" si="100"/>
      </c>
      <c r="DQ91" s="2">
        <f t="shared" si="163"/>
      </c>
      <c r="DR91" s="2">
        <f t="shared" si="164"/>
      </c>
      <c r="DS91" s="129">
        <f t="shared" si="101"/>
      </c>
      <c r="DT91" s="2">
        <f t="shared" si="165"/>
      </c>
      <c r="DU91" s="2">
        <f t="shared" si="166"/>
      </c>
      <c r="DV91" s="129">
        <f t="shared" si="102"/>
      </c>
      <c r="DW91" s="2">
        <f t="shared" si="103"/>
      </c>
      <c r="DX91" s="2">
        <f t="shared" si="104"/>
      </c>
      <c r="DY91" s="129">
        <f t="shared" si="105"/>
      </c>
      <c r="DZ91" s="129"/>
      <c r="EA91" s="21">
        <f t="shared" si="106"/>
      </c>
      <c r="EB91" s="382">
        <f t="shared" si="107"/>
        <v>401769</v>
      </c>
      <c r="EC91" s="382">
        <f t="shared" si="108"/>
        <v>401769</v>
      </c>
      <c r="ED91" s="2">
        <f t="shared" si="184"/>
      </c>
      <c r="EE91" s="382">
        <f t="shared" si="110"/>
        <v>401769</v>
      </c>
      <c r="EF91" s="382">
        <f t="shared" si="185"/>
      </c>
      <c r="EG91" s="382">
        <f t="shared" si="186"/>
      </c>
      <c r="EH91" s="382"/>
      <c r="EI91" s="382">
        <f t="shared" si="187"/>
      </c>
      <c r="EJ91" s="208">
        <f t="shared" si="34"/>
        <v>401769</v>
      </c>
      <c r="EK91" s="2">
        <f t="shared" si="114"/>
      </c>
      <c r="EL91" s="2">
        <f t="shared" si="167"/>
      </c>
      <c r="EM91" s="34"/>
      <c r="EN91" s="7">
        <f t="shared" si="168"/>
        <v>1</v>
      </c>
      <c r="EO91" s="124">
        <f t="shared" si="169"/>
        <v>0</v>
      </c>
      <c r="EP91" s="214" t="str">
        <f t="shared" si="170"/>
        <v>●</v>
      </c>
      <c r="EQ91" s="213" t="str">
        <f t="shared" si="171"/>
        <v>●</v>
      </c>
      <c r="ER91" s="213" t="e">
        <f t="shared" si="172"/>
        <v>#VALUE!</v>
      </c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2"/>
      <c r="FD91" s="20"/>
      <c r="FE91" s="20">
        <f t="shared" si="115"/>
        <v>166</v>
      </c>
      <c r="FF91" s="2">
        <f t="shared" si="116"/>
        <v>1</v>
      </c>
      <c r="FG91" s="2">
        <f t="shared" si="117"/>
        <v>1</v>
      </c>
      <c r="FH91" s="2">
        <f t="shared" si="118"/>
        <v>1</v>
      </c>
      <c r="FI91" s="2">
        <f t="shared" si="119"/>
        <v>1</v>
      </c>
      <c r="FJ91" s="20"/>
      <c r="FK91" s="326">
        <f t="shared" si="120"/>
        <v>0</v>
      </c>
      <c r="FL91" s="326">
        <f t="shared" si="121"/>
        <v>0</v>
      </c>
      <c r="FM91" s="326">
        <f t="shared" si="122"/>
        <v>0</v>
      </c>
      <c r="FN91" s="326">
        <f t="shared" si="123"/>
        <v>0</v>
      </c>
      <c r="FP91" s="326"/>
      <c r="FQ91" s="326"/>
      <c r="FR91" s="326"/>
      <c r="FS91" s="326"/>
      <c r="GF91" s="2">
        <v>65</v>
      </c>
      <c r="GG91" s="2">
        <f t="shared" si="128"/>
        <v>1</v>
      </c>
      <c r="GH91" s="2">
        <f t="shared" si="129"/>
      </c>
      <c r="GI91" s="20">
        <f t="shared" si="130"/>
      </c>
      <c r="GJ91" s="20"/>
      <c r="GK91" s="20">
        <f t="shared" si="131"/>
      </c>
    </row>
    <row r="92" spans="1:193" s="29" customFormat="1" ht="15.75" customHeight="1" hidden="1" thickBot="1" thickTop="1">
      <c r="A92" s="144"/>
      <c r="B92" s="150">
        <f t="shared" si="132"/>
        <v>167</v>
      </c>
      <c r="C92" s="26">
        <f t="shared" si="43"/>
        <v>20781231</v>
      </c>
      <c r="D92" s="26" t="str">
        <f t="shared" si="44"/>
        <v>2078</v>
      </c>
      <c r="E92" s="26" t="str">
        <f t="shared" si="45"/>
        <v>12</v>
      </c>
      <c r="F92" s="26" t="str">
        <f t="shared" si="46"/>
        <v>31</v>
      </c>
      <c r="G92" s="26" t="str">
        <f t="shared" si="47"/>
        <v>2078/12/31</v>
      </c>
      <c r="H92" s="117">
        <f t="shared" si="0"/>
        <v>85</v>
      </c>
      <c r="I92" s="117">
        <f t="shared" si="48"/>
        <v>0</v>
      </c>
      <c r="J92" s="26">
        <f t="shared" si="173"/>
        <v>18</v>
      </c>
      <c r="K92" s="118">
        <f t="shared" si="143"/>
        <v>85</v>
      </c>
      <c r="L92" s="118">
        <f t="shared" si="144"/>
        <v>0</v>
      </c>
      <c r="M92" s="118">
        <f t="shared" si="145"/>
        <v>18</v>
      </c>
      <c r="N92" s="609" t="str">
        <f t="shared" si="175"/>
        <v>167.1.1~167.12.31</v>
      </c>
      <c r="O92" s="610"/>
      <c r="P92" s="610"/>
      <c r="Q92" s="611"/>
      <c r="R92" s="292" t="str">
        <f t="shared" si="134"/>
        <v>65</v>
      </c>
      <c r="S92" s="338">
        <f t="shared" si="49"/>
        <v>105</v>
      </c>
      <c r="T92" s="339">
        <f t="shared" si="50"/>
        <v>85</v>
      </c>
      <c r="U92" s="204">
        <f t="shared" si="51"/>
        <v>190</v>
      </c>
      <c r="V92" s="149"/>
      <c r="W92" s="613">
        <f t="shared" si="176"/>
      </c>
      <c r="X92" s="614"/>
      <c r="Y92" s="614"/>
      <c r="Z92" s="615"/>
      <c r="AA92" s="262">
        <f t="shared" si="54"/>
      </c>
      <c r="AB92" s="318">
        <f t="shared" si="55"/>
      </c>
      <c r="AC92" s="318">
        <f t="shared" si="56"/>
      </c>
      <c r="AD92" s="220">
        <f t="shared" si="57"/>
      </c>
      <c r="AE92" s="262">
        <f t="shared" si="58"/>
      </c>
      <c r="AF92" s="231">
        <f t="shared" si="59"/>
      </c>
      <c r="AG92" s="310">
        <f t="shared" si="177"/>
      </c>
      <c r="AH92" s="227">
        <f t="shared" si="178"/>
      </c>
      <c r="AI92" s="320">
        <f t="shared" si="179"/>
      </c>
      <c r="AJ92" s="320">
        <f t="shared" si="180"/>
      </c>
      <c r="AK92" s="320">
        <f t="shared" si="181"/>
      </c>
      <c r="AL92" s="320">
        <f t="shared" si="182"/>
      </c>
      <c r="AM92" s="282">
        <f t="shared" si="183"/>
      </c>
      <c r="AN92" s="103"/>
      <c r="AO92" s="119">
        <f t="shared" si="146"/>
        <v>0</v>
      </c>
      <c r="AP92" s="119">
        <f t="shared" si="67"/>
        <v>1</v>
      </c>
      <c r="AQ92" s="119">
        <f t="shared" si="68"/>
        <v>1</v>
      </c>
      <c r="AR92" s="119">
        <f>IF(OR(AO92+AP92+AQ92+GG92&gt;0,SUM($AO$30:AQ91)+GG91&gt;0),1,0)</f>
        <v>1</v>
      </c>
      <c r="AS92" s="119">
        <f t="shared" si="147"/>
      </c>
      <c r="AT92" s="119" t="str">
        <f t="shared" si="69"/>
        <v>符合「年齡滿65歲、年資滿15年」之屆齡退休擇領月退休金條件</v>
      </c>
      <c r="AU92" s="119">
        <f t="shared" si="70"/>
      </c>
      <c r="AV92" s="380" t="str">
        <f t="shared" si="71"/>
        <v>符合「年齡滿65歲、年資滿15年」之屆齡退休擇領月退休金條件</v>
      </c>
      <c r="AW92" s="120">
        <f t="shared" si="148"/>
        <v>0</v>
      </c>
      <c r="AX92" s="120">
        <f t="shared" si="149"/>
        <v>1</v>
      </c>
      <c r="AY92" s="120" t="str">
        <f t="shared" si="174"/>
        <v>符合</v>
      </c>
      <c r="AZ92" s="120">
        <f t="shared" si="150"/>
        <v>105</v>
      </c>
      <c r="BA92" s="120">
        <f t="shared" si="151"/>
        <v>20781231</v>
      </c>
      <c r="BB92" s="120" t="str">
        <f t="shared" si="152"/>
        <v>167.1.1~167.12.31</v>
      </c>
      <c r="BC92" s="121">
        <f t="shared" si="73"/>
      </c>
      <c r="BD92" s="122">
        <f t="shared" si="74"/>
      </c>
      <c r="BE92" s="122"/>
      <c r="BF92" s="120"/>
      <c r="BG92" s="123">
        <f t="shared" si="75"/>
      </c>
      <c r="BH92" s="31">
        <f t="shared" si="76"/>
        <v>1</v>
      </c>
      <c r="BI92" s="7">
        <f t="shared" si="77"/>
        <v>1</v>
      </c>
      <c r="BJ92" s="7"/>
      <c r="BK92" s="124">
        <f t="shared" si="153"/>
        <v>0</v>
      </c>
      <c r="BL92" s="124">
        <f t="shared" si="79"/>
      </c>
      <c r="BM92" s="124">
        <f t="shared" si="80"/>
        <v>0</v>
      </c>
      <c r="BN92" s="124">
        <f t="shared" si="81"/>
      </c>
      <c r="BO92" s="124">
        <f t="shared" si="82"/>
        <v>0</v>
      </c>
      <c r="BP92" s="124">
        <f t="shared" si="12"/>
      </c>
      <c r="BQ92" s="33"/>
      <c r="BR92" s="33"/>
      <c r="BS92" s="33"/>
      <c r="BT92" s="33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4"/>
      <c r="CH92" s="34"/>
      <c r="CI92" s="34"/>
      <c r="CJ92" s="34"/>
      <c r="CK92" s="183">
        <f t="shared" si="154"/>
        <v>13</v>
      </c>
      <c r="CL92" s="7">
        <f t="shared" si="155"/>
        <v>12</v>
      </c>
      <c r="CM92" s="20">
        <f t="shared" si="156"/>
        <v>167</v>
      </c>
      <c r="CN92" s="382">
        <f t="shared" si="83"/>
        <v>65366</v>
      </c>
      <c r="CO92" s="185">
        <f t="shared" si="84"/>
        <v>12</v>
      </c>
      <c r="CP92" s="2">
        <f t="shared" si="138"/>
        <v>17</v>
      </c>
      <c r="CQ92" s="382">
        <f t="shared" si="85"/>
        <v>65362</v>
      </c>
      <c r="CR92" s="185">
        <f t="shared" si="135"/>
        <v>12</v>
      </c>
      <c r="CS92" s="2">
        <f t="shared" si="136"/>
        <v>13</v>
      </c>
      <c r="CT92" s="2" t="str">
        <f t="shared" si="139"/>
        <v>初任</v>
      </c>
      <c r="CU92" s="382">
        <f t="shared" si="87"/>
        <v>65362</v>
      </c>
      <c r="CV92" s="2">
        <f t="shared" si="140"/>
        <v>12</v>
      </c>
      <c r="CW92" s="2" t="str">
        <f t="shared" si="141"/>
        <v>生日</v>
      </c>
      <c r="CX92" s="382">
        <f t="shared" si="90"/>
        <v>65366</v>
      </c>
      <c r="CY92" s="2">
        <f t="shared" si="142"/>
        <v>12</v>
      </c>
      <c r="CZ92" s="2">
        <f t="shared" si="157"/>
        <v>0</v>
      </c>
      <c r="DA92" s="2">
        <f t="shared" si="92"/>
      </c>
      <c r="DB92" s="2">
        <f t="shared" si="158"/>
      </c>
      <c r="DC92" s="2">
        <f t="shared" si="93"/>
      </c>
      <c r="DD92" s="2">
        <f t="shared" si="94"/>
      </c>
      <c r="DE92" s="2">
        <f t="shared" si="95"/>
      </c>
      <c r="DF92" s="2">
        <f t="shared" si="24"/>
      </c>
      <c r="DG92" s="129">
        <f t="shared" si="25"/>
      </c>
      <c r="DH92" s="2">
        <f t="shared" si="159"/>
      </c>
      <c r="DI92" s="2">
        <f t="shared" si="96"/>
      </c>
      <c r="DJ92" s="129">
        <f t="shared" si="97"/>
      </c>
      <c r="DK92" s="2">
        <f t="shared" si="160"/>
      </c>
      <c r="DL92" s="2">
        <f t="shared" si="98"/>
      </c>
      <c r="DM92" s="129">
        <f t="shared" si="99"/>
      </c>
      <c r="DN92" s="2">
        <f t="shared" si="161"/>
      </c>
      <c r="DO92" s="2">
        <f t="shared" si="162"/>
      </c>
      <c r="DP92" s="129">
        <f t="shared" si="100"/>
      </c>
      <c r="DQ92" s="2">
        <f t="shared" si="163"/>
      </c>
      <c r="DR92" s="2">
        <f t="shared" si="164"/>
      </c>
      <c r="DS92" s="129">
        <f t="shared" si="101"/>
      </c>
      <c r="DT92" s="2">
        <f t="shared" si="165"/>
      </c>
      <c r="DU92" s="2">
        <f t="shared" si="166"/>
      </c>
      <c r="DV92" s="129">
        <f t="shared" si="102"/>
      </c>
      <c r="DW92" s="2">
        <f t="shared" si="103"/>
      </c>
      <c r="DX92" s="2">
        <f t="shared" si="104"/>
      </c>
      <c r="DY92" s="129">
        <f t="shared" si="105"/>
      </c>
      <c r="DZ92" s="129"/>
      <c r="EA92" s="21">
        <f t="shared" si="106"/>
      </c>
      <c r="EB92" s="382">
        <f t="shared" si="107"/>
        <v>401769</v>
      </c>
      <c r="EC92" s="382">
        <f t="shared" si="108"/>
        <v>401769</v>
      </c>
      <c r="ED92" s="2">
        <f t="shared" si="184"/>
      </c>
      <c r="EE92" s="382">
        <f t="shared" si="110"/>
        <v>401769</v>
      </c>
      <c r="EF92" s="382">
        <f t="shared" si="185"/>
      </c>
      <c r="EG92" s="382">
        <f t="shared" si="186"/>
      </c>
      <c r="EH92" s="382"/>
      <c r="EI92" s="382">
        <f t="shared" si="187"/>
      </c>
      <c r="EJ92" s="208">
        <f t="shared" si="34"/>
        <v>401769</v>
      </c>
      <c r="EK92" s="2">
        <f t="shared" si="114"/>
      </c>
      <c r="EL92" s="2">
        <f t="shared" si="167"/>
      </c>
      <c r="EM92" s="34"/>
      <c r="EN92" s="7">
        <f t="shared" si="168"/>
        <v>1</v>
      </c>
      <c r="EO92" s="124">
        <f t="shared" si="169"/>
        <v>0</v>
      </c>
      <c r="EP92" s="214" t="str">
        <f t="shared" si="170"/>
        <v>●</v>
      </c>
      <c r="EQ92" s="213" t="str">
        <f t="shared" si="171"/>
        <v>●</v>
      </c>
      <c r="ER92" s="213" t="e">
        <f t="shared" si="172"/>
        <v>#VALUE!</v>
      </c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2"/>
      <c r="FD92" s="20"/>
      <c r="FE92" s="20">
        <f t="shared" si="115"/>
        <v>167</v>
      </c>
      <c r="FF92" s="2">
        <f t="shared" si="116"/>
        <v>1</v>
      </c>
      <c r="FG92" s="2">
        <f t="shared" si="117"/>
        <v>1</v>
      </c>
      <c r="FH92" s="2">
        <f t="shared" si="118"/>
        <v>1</v>
      </c>
      <c r="FI92" s="2">
        <f t="shared" si="119"/>
        <v>1</v>
      </c>
      <c r="FJ92" s="20"/>
      <c r="FK92" s="326">
        <f t="shared" si="120"/>
        <v>0</v>
      </c>
      <c r="FL92" s="326">
        <f t="shared" si="121"/>
        <v>0</v>
      </c>
      <c r="FM92" s="326">
        <f t="shared" si="122"/>
        <v>0</v>
      </c>
      <c r="FN92" s="326">
        <f t="shared" si="123"/>
        <v>0</v>
      </c>
      <c r="FP92" s="326"/>
      <c r="FQ92" s="326"/>
      <c r="FR92" s="326"/>
      <c r="FS92" s="326"/>
      <c r="GF92" s="2">
        <v>65</v>
      </c>
      <c r="GG92" s="2">
        <f t="shared" si="128"/>
        <v>1</v>
      </c>
      <c r="GH92" s="2">
        <f t="shared" si="129"/>
      </c>
      <c r="GI92" s="20">
        <f t="shared" si="130"/>
      </c>
      <c r="GJ92" s="20"/>
      <c r="GK92" s="20">
        <f t="shared" si="131"/>
      </c>
    </row>
    <row r="93" spans="1:193" s="29" customFormat="1" ht="15.75" customHeight="1" hidden="1" thickBot="1" thickTop="1">
      <c r="A93" s="144"/>
      <c r="B93" s="150">
        <f t="shared" si="132"/>
        <v>168</v>
      </c>
      <c r="C93" s="26">
        <f t="shared" si="43"/>
        <v>20791231</v>
      </c>
      <c r="D93" s="26" t="str">
        <f t="shared" si="44"/>
        <v>2079</v>
      </c>
      <c r="E93" s="26" t="str">
        <f t="shared" si="45"/>
        <v>12</v>
      </c>
      <c r="F93" s="26" t="str">
        <f t="shared" si="46"/>
        <v>31</v>
      </c>
      <c r="G93" s="26" t="str">
        <f t="shared" si="47"/>
        <v>2079/12/31</v>
      </c>
      <c r="H93" s="117">
        <f t="shared" si="0"/>
        <v>86</v>
      </c>
      <c r="I93" s="117">
        <f t="shared" si="48"/>
        <v>0</v>
      </c>
      <c r="J93" s="26">
        <f t="shared" si="173"/>
        <v>18</v>
      </c>
      <c r="K93" s="118">
        <f t="shared" si="143"/>
        <v>86</v>
      </c>
      <c r="L93" s="118">
        <f t="shared" si="144"/>
        <v>0</v>
      </c>
      <c r="M93" s="118">
        <f t="shared" si="145"/>
        <v>18</v>
      </c>
      <c r="N93" s="609" t="str">
        <f t="shared" si="175"/>
        <v>168.1.1~168.12.31</v>
      </c>
      <c r="O93" s="610"/>
      <c r="P93" s="610"/>
      <c r="Q93" s="611"/>
      <c r="R93" s="292" t="str">
        <f t="shared" si="134"/>
        <v>65</v>
      </c>
      <c r="S93" s="338">
        <f t="shared" si="49"/>
        <v>106</v>
      </c>
      <c r="T93" s="339">
        <f t="shared" si="50"/>
        <v>86</v>
      </c>
      <c r="U93" s="204">
        <f t="shared" si="51"/>
        <v>192</v>
      </c>
      <c r="V93" s="149"/>
      <c r="W93" s="613">
        <f t="shared" si="176"/>
      </c>
      <c r="X93" s="614"/>
      <c r="Y93" s="614"/>
      <c r="Z93" s="615"/>
      <c r="AA93" s="262">
        <f t="shared" si="54"/>
      </c>
      <c r="AB93" s="318">
        <f t="shared" si="55"/>
      </c>
      <c r="AC93" s="318">
        <f t="shared" si="56"/>
      </c>
      <c r="AD93" s="220">
        <f t="shared" si="57"/>
      </c>
      <c r="AE93" s="262">
        <f t="shared" si="58"/>
      </c>
      <c r="AF93" s="231">
        <f t="shared" si="59"/>
      </c>
      <c r="AG93" s="310">
        <f t="shared" si="177"/>
      </c>
      <c r="AH93" s="227">
        <f t="shared" si="178"/>
      </c>
      <c r="AI93" s="320">
        <f t="shared" si="179"/>
      </c>
      <c r="AJ93" s="320">
        <f t="shared" si="180"/>
      </c>
      <c r="AK93" s="320">
        <f t="shared" si="181"/>
      </c>
      <c r="AL93" s="320">
        <f t="shared" si="182"/>
      </c>
      <c r="AM93" s="282">
        <f t="shared" si="183"/>
      </c>
      <c r="AN93" s="103"/>
      <c r="AO93" s="119">
        <f t="shared" si="146"/>
        <v>0</v>
      </c>
      <c r="AP93" s="119">
        <f t="shared" si="67"/>
        <v>1</v>
      </c>
      <c r="AQ93" s="119">
        <f t="shared" si="68"/>
        <v>1</v>
      </c>
      <c r="AR93" s="119">
        <f>IF(OR(AO93+AP93+AQ93+GG93&gt;0,SUM($AO$30:AQ92)+GG92&gt;0),1,0)</f>
        <v>1</v>
      </c>
      <c r="AS93" s="119">
        <f t="shared" si="147"/>
      </c>
      <c r="AT93" s="119" t="str">
        <f t="shared" si="69"/>
        <v>符合「年齡滿65歲、年資滿15年」之屆齡退休擇領月退休金條件</v>
      </c>
      <c r="AU93" s="119">
        <f t="shared" si="70"/>
      </c>
      <c r="AV93" s="380" t="str">
        <f t="shared" si="71"/>
        <v>符合「年齡滿65歲、年資滿15年」之屆齡退休擇領月退休金條件</v>
      </c>
      <c r="AW93" s="120">
        <f t="shared" si="148"/>
        <v>0</v>
      </c>
      <c r="AX93" s="120">
        <f t="shared" si="149"/>
        <v>1</v>
      </c>
      <c r="AY93" s="120" t="str">
        <f t="shared" si="174"/>
        <v>符合</v>
      </c>
      <c r="AZ93" s="120">
        <f t="shared" si="150"/>
        <v>106</v>
      </c>
      <c r="BA93" s="120">
        <f t="shared" si="151"/>
        <v>20791231</v>
      </c>
      <c r="BB93" s="120" t="str">
        <f t="shared" si="152"/>
        <v>168.1.1~168.12.31</v>
      </c>
      <c r="BC93" s="121">
        <f t="shared" si="73"/>
      </c>
      <c r="BD93" s="122">
        <f t="shared" si="74"/>
      </c>
      <c r="BE93" s="122"/>
      <c r="BF93" s="120"/>
      <c r="BG93" s="123">
        <f t="shared" si="75"/>
      </c>
      <c r="BH93" s="31">
        <f t="shared" si="76"/>
        <v>1</v>
      </c>
      <c r="BI93" s="7">
        <f t="shared" si="77"/>
        <v>1</v>
      </c>
      <c r="BJ93" s="7"/>
      <c r="BK93" s="124">
        <f t="shared" si="153"/>
        <v>0</v>
      </c>
      <c r="BL93" s="124">
        <f t="shared" si="79"/>
      </c>
      <c r="BM93" s="124">
        <f t="shared" si="80"/>
        <v>0</v>
      </c>
      <c r="BN93" s="124">
        <f t="shared" si="81"/>
      </c>
      <c r="BO93" s="124">
        <f t="shared" si="82"/>
        <v>0</v>
      </c>
      <c r="BP93" s="124">
        <f t="shared" si="12"/>
      </c>
      <c r="BQ93" s="33"/>
      <c r="BR93" s="33"/>
      <c r="BS93" s="33"/>
      <c r="BT93" s="33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4"/>
      <c r="CH93" s="34"/>
      <c r="CI93" s="34"/>
      <c r="CJ93" s="34"/>
      <c r="CK93" s="183">
        <f t="shared" si="154"/>
        <v>13</v>
      </c>
      <c r="CL93" s="7">
        <f t="shared" si="155"/>
        <v>12</v>
      </c>
      <c r="CM93" s="20">
        <f t="shared" si="156"/>
        <v>168</v>
      </c>
      <c r="CN93" s="382">
        <f t="shared" si="83"/>
        <v>65731</v>
      </c>
      <c r="CO93" s="185">
        <f t="shared" si="84"/>
        <v>12</v>
      </c>
      <c r="CP93" s="2">
        <f t="shared" si="138"/>
        <v>17</v>
      </c>
      <c r="CQ93" s="382">
        <f t="shared" si="85"/>
        <v>65727</v>
      </c>
      <c r="CR93" s="185">
        <f t="shared" si="135"/>
        <v>12</v>
      </c>
      <c r="CS93" s="2">
        <f t="shared" si="136"/>
        <v>13</v>
      </c>
      <c r="CT93" s="2" t="str">
        <f t="shared" si="139"/>
        <v>初任</v>
      </c>
      <c r="CU93" s="382">
        <f t="shared" si="87"/>
        <v>65727</v>
      </c>
      <c r="CV93" s="2">
        <f t="shared" si="140"/>
        <v>12</v>
      </c>
      <c r="CW93" s="2" t="str">
        <f t="shared" si="141"/>
        <v>生日</v>
      </c>
      <c r="CX93" s="382">
        <f t="shared" si="90"/>
        <v>65731</v>
      </c>
      <c r="CY93" s="2">
        <f t="shared" si="142"/>
        <v>12</v>
      </c>
      <c r="CZ93" s="2">
        <f t="shared" si="157"/>
        <v>0</v>
      </c>
      <c r="DA93" s="2">
        <f t="shared" si="92"/>
      </c>
      <c r="DB93" s="2">
        <f t="shared" si="158"/>
      </c>
      <c r="DC93" s="2">
        <f t="shared" si="93"/>
      </c>
      <c r="DD93" s="2">
        <f t="shared" si="94"/>
      </c>
      <c r="DE93" s="2">
        <f t="shared" si="95"/>
      </c>
      <c r="DF93" s="2">
        <f t="shared" si="24"/>
      </c>
      <c r="DG93" s="129">
        <f t="shared" si="25"/>
      </c>
      <c r="DH93" s="2">
        <f t="shared" si="159"/>
      </c>
      <c r="DI93" s="2">
        <f t="shared" si="96"/>
      </c>
      <c r="DJ93" s="129">
        <f t="shared" si="97"/>
      </c>
      <c r="DK93" s="2">
        <f t="shared" si="160"/>
      </c>
      <c r="DL93" s="2">
        <f t="shared" si="98"/>
      </c>
      <c r="DM93" s="129">
        <f t="shared" si="99"/>
      </c>
      <c r="DN93" s="2">
        <f t="shared" si="161"/>
      </c>
      <c r="DO93" s="2">
        <f t="shared" si="162"/>
      </c>
      <c r="DP93" s="129">
        <f t="shared" si="100"/>
      </c>
      <c r="DQ93" s="2">
        <f t="shared" si="163"/>
      </c>
      <c r="DR93" s="2">
        <f t="shared" si="164"/>
      </c>
      <c r="DS93" s="129">
        <f t="shared" si="101"/>
      </c>
      <c r="DT93" s="2">
        <f t="shared" si="165"/>
      </c>
      <c r="DU93" s="2">
        <f t="shared" si="166"/>
      </c>
      <c r="DV93" s="129">
        <f t="shared" si="102"/>
      </c>
      <c r="DW93" s="2">
        <f t="shared" si="103"/>
      </c>
      <c r="DX93" s="2">
        <f t="shared" si="104"/>
      </c>
      <c r="DY93" s="129">
        <f t="shared" si="105"/>
      </c>
      <c r="DZ93" s="129"/>
      <c r="EA93" s="21">
        <f t="shared" si="106"/>
      </c>
      <c r="EB93" s="382">
        <f t="shared" si="107"/>
        <v>401769</v>
      </c>
      <c r="EC93" s="382">
        <f t="shared" si="108"/>
        <v>401769</v>
      </c>
      <c r="ED93" s="2">
        <f t="shared" si="184"/>
      </c>
      <c r="EE93" s="382">
        <f t="shared" si="110"/>
        <v>401769</v>
      </c>
      <c r="EF93" s="382">
        <f t="shared" si="185"/>
      </c>
      <c r="EG93" s="382">
        <f t="shared" si="186"/>
      </c>
      <c r="EH93" s="382"/>
      <c r="EI93" s="382">
        <f t="shared" si="187"/>
      </c>
      <c r="EJ93" s="208">
        <f t="shared" si="34"/>
        <v>401769</v>
      </c>
      <c r="EK93" s="2">
        <f t="shared" si="114"/>
      </c>
      <c r="EL93" s="2">
        <f t="shared" si="167"/>
      </c>
      <c r="EM93" s="34"/>
      <c r="EN93" s="7">
        <f t="shared" si="168"/>
        <v>1</v>
      </c>
      <c r="EO93" s="124">
        <f t="shared" si="169"/>
        <v>0</v>
      </c>
      <c r="EP93" s="214" t="str">
        <f t="shared" si="170"/>
        <v>●</v>
      </c>
      <c r="EQ93" s="213" t="str">
        <f t="shared" si="171"/>
        <v>●</v>
      </c>
      <c r="ER93" s="213" t="e">
        <f t="shared" si="172"/>
        <v>#VALUE!</v>
      </c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2"/>
      <c r="FD93" s="20"/>
      <c r="FE93" s="20">
        <f t="shared" si="115"/>
        <v>168</v>
      </c>
      <c r="FF93" s="2">
        <f t="shared" si="116"/>
        <v>1</v>
      </c>
      <c r="FG93" s="2">
        <f t="shared" si="117"/>
        <v>1</v>
      </c>
      <c r="FH93" s="2">
        <f t="shared" si="118"/>
        <v>1</v>
      </c>
      <c r="FI93" s="2">
        <f t="shared" si="119"/>
        <v>1</v>
      </c>
      <c r="FJ93" s="20"/>
      <c r="FK93" s="326">
        <f t="shared" si="120"/>
        <v>0</v>
      </c>
      <c r="FL93" s="326">
        <f t="shared" si="121"/>
        <v>0</v>
      </c>
      <c r="FM93" s="326">
        <f t="shared" si="122"/>
        <v>0</v>
      </c>
      <c r="FN93" s="326">
        <f t="shared" si="123"/>
        <v>0</v>
      </c>
      <c r="FP93" s="326"/>
      <c r="FQ93" s="326"/>
      <c r="FR93" s="326"/>
      <c r="FS93" s="326"/>
      <c r="GF93" s="2">
        <v>65</v>
      </c>
      <c r="GG93" s="2">
        <f t="shared" si="128"/>
        <v>1</v>
      </c>
      <c r="GH93" s="2">
        <f t="shared" si="129"/>
      </c>
      <c r="GI93" s="20">
        <f t="shared" si="130"/>
      </c>
      <c r="GJ93" s="20"/>
      <c r="GK93" s="20">
        <f t="shared" si="131"/>
      </c>
    </row>
    <row r="94" spans="1:193" s="29" customFormat="1" ht="15.75" customHeight="1" hidden="1" thickBot="1" thickTop="1">
      <c r="A94" s="144"/>
      <c r="B94" s="150">
        <f t="shared" si="132"/>
        <v>169</v>
      </c>
      <c r="C94" s="26">
        <f t="shared" si="43"/>
        <v>20801231</v>
      </c>
      <c r="D94" s="26" t="str">
        <f t="shared" si="44"/>
        <v>2080</v>
      </c>
      <c r="E94" s="26" t="str">
        <f t="shared" si="45"/>
        <v>12</v>
      </c>
      <c r="F94" s="26" t="str">
        <f t="shared" si="46"/>
        <v>31</v>
      </c>
      <c r="G94" s="26" t="str">
        <f t="shared" si="47"/>
        <v>2080/12/31</v>
      </c>
      <c r="H94" s="117">
        <f t="shared" si="0"/>
        <v>87</v>
      </c>
      <c r="I94" s="117">
        <f t="shared" si="48"/>
        <v>0</v>
      </c>
      <c r="J94" s="26">
        <f t="shared" si="173"/>
        <v>18</v>
      </c>
      <c r="K94" s="118">
        <f t="shared" si="143"/>
        <v>87</v>
      </c>
      <c r="L94" s="118">
        <f t="shared" si="144"/>
        <v>0</v>
      </c>
      <c r="M94" s="118">
        <f t="shared" si="145"/>
        <v>18</v>
      </c>
      <c r="N94" s="609" t="str">
        <f t="shared" si="175"/>
        <v>169.1.1~169.12.31</v>
      </c>
      <c r="O94" s="610"/>
      <c r="P94" s="610"/>
      <c r="Q94" s="611"/>
      <c r="R94" s="292" t="str">
        <f t="shared" si="134"/>
        <v>65</v>
      </c>
      <c r="S94" s="338">
        <f t="shared" si="49"/>
        <v>107</v>
      </c>
      <c r="T94" s="339">
        <f t="shared" si="50"/>
        <v>87</v>
      </c>
      <c r="U94" s="204">
        <f t="shared" si="51"/>
        <v>194</v>
      </c>
      <c r="V94" s="149"/>
      <c r="W94" s="613">
        <f t="shared" si="176"/>
      </c>
      <c r="X94" s="614"/>
      <c r="Y94" s="614"/>
      <c r="Z94" s="615"/>
      <c r="AA94" s="262">
        <f t="shared" si="54"/>
      </c>
      <c r="AB94" s="318">
        <f t="shared" si="55"/>
      </c>
      <c r="AC94" s="318">
        <f t="shared" si="56"/>
      </c>
      <c r="AD94" s="220">
        <f t="shared" si="57"/>
      </c>
      <c r="AE94" s="262">
        <f t="shared" si="58"/>
      </c>
      <c r="AF94" s="231">
        <f t="shared" si="59"/>
      </c>
      <c r="AG94" s="310">
        <f t="shared" si="177"/>
      </c>
      <c r="AH94" s="227">
        <f t="shared" si="178"/>
      </c>
      <c r="AI94" s="320">
        <f t="shared" si="179"/>
      </c>
      <c r="AJ94" s="320">
        <f t="shared" si="180"/>
      </c>
      <c r="AK94" s="320">
        <f t="shared" si="181"/>
      </c>
      <c r="AL94" s="320">
        <f t="shared" si="182"/>
      </c>
      <c r="AM94" s="282">
        <f t="shared" si="183"/>
      </c>
      <c r="AN94" s="103"/>
      <c r="AO94" s="119">
        <f t="shared" si="146"/>
        <v>0</v>
      </c>
      <c r="AP94" s="119">
        <f t="shared" si="67"/>
        <v>1</v>
      </c>
      <c r="AQ94" s="119">
        <f t="shared" si="68"/>
        <v>1</v>
      </c>
      <c r="AR94" s="119">
        <f>IF(OR(AO94+AP94+AQ94+GG94&gt;0,SUM($AO$30:AQ93)+GG93&gt;0),1,0)</f>
        <v>1</v>
      </c>
      <c r="AS94" s="119">
        <f t="shared" si="147"/>
      </c>
      <c r="AT94" s="119" t="str">
        <f t="shared" si="69"/>
        <v>符合「年齡滿65歲、年資滿15年」之屆齡退休擇領月退休金條件</v>
      </c>
      <c r="AU94" s="119">
        <f t="shared" si="70"/>
      </c>
      <c r="AV94" s="380" t="str">
        <f t="shared" si="71"/>
        <v>符合「年齡滿65歲、年資滿15年」之屆齡退休擇領月退休金條件</v>
      </c>
      <c r="AW94" s="120">
        <f t="shared" si="148"/>
        <v>0</v>
      </c>
      <c r="AX94" s="120">
        <f t="shared" si="149"/>
        <v>1</v>
      </c>
      <c r="AY94" s="120" t="str">
        <f t="shared" si="174"/>
        <v>符合</v>
      </c>
      <c r="AZ94" s="120">
        <f t="shared" si="150"/>
        <v>107</v>
      </c>
      <c r="BA94" s="120">
        <f t="shared" si="151"/>
        <v>20801231</v>
      </c>
      <c r="BB94" s="120" t="str">
        <f t="shared" si="152"/>
        <v>169.1.1~169.12.31</v>
      </c>
      <c r="BC94" s="121">
        <f t="shared" si="73"/>
      </c>
      <c r="BD94" s="122">
        <f t="shared" si="74"/>
      </c>
      <c r="BE94" s="122"/>
      <c r="BF94" s="120"/>
      <c r="BG94" s="123">
        <f t="shared" si="75"/>
      </c>
      <c r="BH94" s="31">
        <f t="shared" si="76"/>
        <v>1</v>
      </c>
      <c r="BI94" s="7">
        <f t="shared" si="77"/>
        <v>1</v>
      </c>
      <c r="BJ94" s="7"/>
      <c r="BK94" s="124">
        <f t="shared" si="153"/>
        <v>0</v>
      </c>
      <c r="BL94" s="124">
        <f t="shared" si="79"/>
      </c>
      <c r="BM94" s="124">
        <f t="shared" si="80"/>
        <v>0</v>
      </c>
      <c r="BN94" s="124">
        <f t="shared" si="81"/>
      </c>
      <c r="BO94" s="124">
        <f t="shared" si="82"/>
        <v>0</v>
      </c>
      <c r="BP94" s="124">
        <f t="shared" si="12"/>
      </c>
      <c r="BQ94" s="33"/>
      <c r="BR94" s="33"/>
      <c r="BS94" s="33"/>
      <c r="BT94" s="33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4"/>
      <c r="CH94" s="34"/>
      <c r="CI94" s="34"/>
      <c r="CJ94" s="34"/>
      <c r="CK94" s="183">
        <f t="shared" si="154"/>
        <v>13</v>
      </c>
      <c r="CL94" s="7">
        <f t="shared" si="155"/>
        <v>12</v>
      </c>
      <c r="CM94" s="20">
        <f t="shared" si="156"/>
        <v>169</v>
      </c>
      <c r="CN94" s="382">
        <f t="shared" si="83"/>
        <v>66097</v>
      </c>
      <c r="CO94" s="185">
        <f t="shared" si="84"/>
        <v>12</v>
      </c>
      <c r="CP94" s="2">
        <f t="shared" si="138"/>
        <v>17</v>
      </c>
      <c r="CQ94" s="382">
        <f t="shared" si="85"/>
        <v>66093</v>
      </c>
      <c r="CR94" s="185">
        <f t="shared" si="135"/>
        <v>12</v>
      </c>
      <c r="CS94" s="2">
        <f t="shared" si="136"/>
        <v>13</v>
      </c>
      <c r="CT94" s="2" t="str">
        <f t="shared" si="139"/>
        <v>初任</v>
      </c>
      <c r="CU94" s="382">
        <f t="shared" si="87"/>
        <v>66093</v>
      </c>
      <c r="CV94" s="2">
        <f t="shared" si="140"/>
        <v>12</v>
      </c>
      <c r="CW94" s="2" t="str">
        <f t="shared" si="141"/>
        <v>生日</v>
      </c>
      <c r="CX94" s="382">
        <f t="shared" si="90"/>
        <v>66097</v>
      </c>
      <c r="CY94" s="2">
        <f t="shared" si="142"/>
        <v>12</v>
      </c>
      <c r="CZ94" s="2">
        <f t="shared" si="157"/>
        <v>0</v>
      </c>
      <c r="DA94" s="2">
        <f t="shared" si="92"/>
      </c>
      <c r="DB94" s="2">
        <f t="shared" si="158"/>
      </c>
      <c r="DC94" s="2">
        <f t="shared" si="93"/>
      </c>
      <c r="DD94" s="2">
        <f t="shared" si="94"/>
      </c>
      <c r="DE94" s="2">
        <f t="shared" si="95"/>
      </c>
      <c r="DF94" s="2">
        <f t="shared" si="24"/>
      </c>
      <c r="DG94" s="129">
        <f t="shared" si="25"/>
      </c>
      <c r="DH94" s="2">
        <f t="shared" si="159"/>
      </c>
      <c r="DI94" s="2">
        <f t="shared" si="96"/>
      </c>
      <c r="DJ94" s="129">
        <f t="shared" si="97"/>
      </c>
      <c r="DK94" s="2">
        <f t="shared" si="160"/>
      </c>
      <c r="DL94" s="2">
        <f t="shared" si="98"/>
      </c>
      <c r="DM94" s="129">
        <f t="shared" si="99"/>
      </c>
      <c r="DN94" s="2">
        <f t="shared" si="161"/>
      </c>
      <c r="DO94" s="2">
        <f t="shared" si="162"/>
      </c>
      <c r="DP94" s="129">
        <f t="shared" si="100"/>
      </c>
      <c r="DQ94" s="2">
        <f t="shared" si="163"/>
      </c>
      <c r="DR94" s="2">
        <f t="shared" si="164"/>
      </c>
      <c r="DS94" s="129">
        <f t="shared" si="101"/>
      </c>
      <c r="DT94" s="2">
        <f t="shared" si="165"/>
      </c>
      <c r="DU94" s="2">
        <f t="shared" si="166"/>
      </c>
      <c r="DV94" s="129">
        <f t="shared" si="102"/>
      </c>
      <c r="DW94" s="2">
        <f t="shared" si="103"/>
      </c>
      <c r="DX94" s="2">
        <f t="shared" si="104"/>
      </c>
      <c r="DY94" s="129">
        <f t="shared" si="105"/>
      </c>
      <c r="DZ94" s="129"/>
      <c r="EA94" s="21">
        <f t="shared" si="106"/>
      </c>
      <c r="EB94" s="382">
        <f t="shared" si="107"/>
        <v>401769</v>
      </c>
      <c r="EC94" s="382">
        <f t="shared" si="108"/>
        <v>401769</v>
      </c>
      <c r="ED94" s="2">
        <f t="shared" si="184"/>
      </c>
      <c r="EE94" s="382">
        <f t="shared" si="110"/>
        <v>401769</v>
      </c>
      <c r="EF94" s="382">
        <f t="shared" si="185"/>
      </c>
      <c r="EG94" s="382">
        <f t="shared" si="186"/>
      </c>
      <c r="EH94" s="382"/>
      <c r="EI94" s="382">
        <f t="shared" si="187"/>
      </c>
      <c r="EJ94" s="208">
        <f t="shared" si="34"/>
        <v>401769</v>
      </c>
      <c r="EK94" s="2">
        <f t="shared" si="114"/>
      </c>
      <c r="EL94" s="2">
        <f t="shared" si="167"/>
      </c>
      <c r="EM94" s="34"/>
      <c r="EN94" s="7">
        <f t="shared" si="168"/>
        <v>1</v>
      </c>
      <c r="EO94" s="124">
        <f t="shared" si="169"/>
        <v>0</v>
      </c>
      <c r="EP94" s="214" t="str">
        <f t="shared" si="170"/>
        <v>●</v>
      </c>
      <c r="EQ94" s="213" t="str">
        <f t="shared" si="171"/>
        <v>●</v>
      </c>
      <c r="ER94" s="213" t="e">
        <f t="shared" si="172"/>
        <v>#VALUE!</v>
      </c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2"/>
      <c r="FD94" s="20"/>
      <c r="FE94" s="20">
        <f t="shared" si="115"/>
        <v>169</v>
      </c>
      <c r="FF94" s="2">
        <f t="shared" si="116"/>
        <v>1</v>
      </c>
      <c r="FG94" s="2">
        <f t="shared" si="117"/>
        <v>1</v>
      </c>
      <c r="FH94" s="2">
        <f t="shared" si="118"/>
        <v>1</v>
      </c>
      <c r="FI94" s="2">
        <f t="shared" si="119"/>
        <v>1</v>
      </c>
      <c r="FJ94" s="20"/>
      <c r="FK94" s="326">
        <f t="shared" si="120"/>
        <v>0</v>
      </c>
      <c r="FL94" s="326">
        <f t="shared" si="121"/>
        <v>0</v>
      </c>
      <c r="FM94" s="326">
        <f t="shared" si="122"/>
        <v>0</v>
      </c>
      <c r="FN94" s="326">
        <f t="shared" si="123"/>
        <v>0</v>
      </c>
      <c r="FP94" s="326"/>
      <c r="FQ94" s="326"/>
      <c r="FR94" s="326"/>
      <c r="FS94" s="326"/>
      <c r="GF94" s="2">
        <v>65</v>
      </c>
      <c r="GG94" s="2">
        <f t="shared" si="128"/>
        <v>1</v>
      </c>
      <c r="GH94" s="2">
        <f t="shared" si="129"/>
      </c>
      <c r="GI94" s="20">
        <f t="shared" si="130"/>
      </c>
      <c r="GJ94" s="20"/>
      <c r="GK94" s="20">
        <f t="shared" si="131"/>
      </c>
    </row>
    <row r="95" spans="1:193" s="29" customFormat="1" ht="15.75" customHeight="1" hidden="1" thickBot="1" thickTop="1">
      <c r="A95" s="144"/>
      <c r="B95" s="150">
        <f t="shared" si="132"/>
        <v>170</v>
      </c>
      <c r="C95" s="26">
        <f t="shared" si="43"/>
        <v>20811231</v>
      </c>
      <c r="D95" s="26" t="str">
        <f t="shared" si="44"/>
        <v>2081</v>
      </c>
      <c r="E95" s="26" t="str">
        <f t="shared" si="45"/>
        <v>12</v>
      </c>
      <c r="F95" s="26" t="str">
        <f t="shared" si="46"/>
        <v>31</v>
      </c>
      <c r="G95" s="26" t="str">
        <f t="shared" si="47"/>
        <v>2081/12/31</v>
      </c>
      <c r="H95" s="117">
        <f aca="true" t="shared" si="188" ref="H95:H113">DATEDIF($Z$8,G95,"Y")</f>
        <v>88</v>
      </c>
      <c r="I95" s="117">
        <f t="shared" si="48"/>
        <v>0</v>
      </c>
      <c r="J95" s="26">
        <f t="shared" si="173"/>
        <v>18</v>
      </c>
      <c r="K95" s="118">
        <f aca="true" t="shared" si="189" ref="K95:K113">IF($AN$9+$AN$10=0,H95,INT((((IF(OR(AND(I95+$U$10=11,J95+$W$10&gt;=30),I95+$U$10&gt;11),$S$10+H95+1,$S$10+H95))*12+(IF(AND(I95+$U$10=11,J95+$W$10&gt;=30),0,IF(J95+$W$10&gt;=30,MOD(I95+$U$10,12)+1,MOD(I95+$U$10,12)))))*30+((MOD(J95+$W$10,30)))-($S$9*12+$U$9)*30+$W$9)/360))</f>
        <v>88</v>
      </c>
      <c r="L95" s="118">
        <f aca="true" t="shared" si="190" ref="L95:L113">IF($AN$9+$AN$10=0,I95,IF(((MOD(J95+$W$10,30)))&lt;$W$9,MOD((IF(AND(I95+$U$10=11,J95+$W$10&gt;=30),0,IF(J95+$W$10&gt;=30,MOD(I95+$U$10,12)+1,MOD(I95+$U$10,12))))-$U$9-1,12),MOD((IF(AND(I95+$U$10=11,J95+$W$10&gt;=30),0,IF(J95+$W$10&gt;=30,MOD(I95+$U$10,12)+1,MOD(I95+$U$10,12))))-$U$9,12)))</f>
        <v>0</v>
      </c>
      <c r="M95" s="118">
        <f aca="true" t="shared" si="191" ref="M95:M113">IF($AN$9+$AN$10=0,J95,MOD((MOD(J95+$W$10,30))-$W$9,30))</f>
        <v>18</v>
      </c>
      <c r="N95" s="609" t="str">
        <f t="shared" si="175"/>
        <v>170.1.1~170.12.31</v>
      </c>
      <c r="O95" s="610"/>
      <c r="P95" s="610"/>
      <c r="Q95" s="611"/>
      <c r="R95" s="292" t="str">
        <f t="shared" si="134"/>
        <v>65</v>
      </c>
      <c r="S95" s="338">
        <f t="shared" si="49"/>
        <v>108</v>
      </c>
      <c r="T95" s="339">
        <f t="shared" si="50"/>
        <v>88</v>
      </c>
      <c r="U95" s="204">
        <f t="shared" si="51"/>
        <v>196</v>
      </c>
      <c r="V95" s="149"/>
      <c r="W95" s="613">
        <f t="shared" si="176"/>
      </c>
      <c r="X95" s="614"/>
      <c r="Y95" s="614"/>
      <c r="Z95" s="615"/>
      <c r="AA95" s="262">
        <f t="shared" si="54"/>
      </c>
      <c r="AB95" s="318">
        <f t="shared" si="55"/>
      </c>
      <c r="AC95" s="318">
        <f t="shared" si="56"/>
      </c>
      <c r="AD95" s="220">
        <f t="shared" si="57"/>
      </c>
      <c r="AE95" s="262">
        <f t="shared" si="58"/>
      </c>
      <c r="AF95" s="231">
        <f t="shared" si="59"/>
      </c>
      <c r="AG95" s="310">
        <f t="shared" si="177"/>
      </c>
      <c r="AH95" s="227">
        <f t="shared" si="178"/>
      </c>
      <c r="AI95" s="320">
        <f t="shared" si="179"/>
      </c>
      <c r="AJ95" s="320">
        <f t="shared" si="180"/>
      </c>
      <c r="AK95" s="320">
        <f t="shared" si="181"/>
      </c>
      <c r="AL95" s="320">
        <f t="shared" si="182"/>
      </c>
      <c r="AM95" s="282">
        <f t="shared" si="183"/>
      </c>
      <c r="AN95" s="103"/>
      <c r="AO95" s="119">
        <f aca="true" t="shared" si="192" ref="AO95:AO113">IF($B$5="×",0,IF($Y$8&gt;=20180101,0,IF(OR(AND(C95&lt;20210101,S95&gt;=50,T95&gt;24,U95&gt;=R95),AND(C95&lt;20260101,S95&gt;=55,T95&gt;24,U95&gt;=R95),AND(C95&lt;20310101,S95&gt;=60,T95&gt;24,U95&gt;=R95)),1,0)))</f>
        <v>0</v>
      </c>
      <c r="AP95" s="119">
        <f t="shared" si="67"/>
        <v>1</v>
      </c>
      <c r="AQ95" s="119">
        <f t="shared" si="68"/>
        <v>1</v>
      </c>
      <c r="AR95" s="119">
        <f>IF(OR(AO95+AP95+AQ95+GG95&gt;0,SUM($AO$30:AQ94)+GG94&gt;0),1,0)</f>
        <v>1</v>
      </c>
      <c r="AS95" s="119">
        <f aca="true" t="shared" si="193" ref="AS95:AS113">IF(AND(C95&lt;20210101,AO95=1),"符合【109年(含)以前，年資≧25年&amp;年齡≧50歲】且【年資＋年齡≧當年法定指標數】之擇領全額月退休金條件",IF(AND(C95&lt;20260101,AO95=1),"符合【110(含)至114年(含)之間，年資≧25年&amp;年齡≧55歲】且【年資＋年齡≧當年法定指標數】之擇領全額月退休金條件",IF(AND(C95&lt;20310101,AO95=1),"符合【115(含)至119年(含)之間，年資≧25年&amp;年齡≧60歲】且【年資＋年齡≧當年法定指標數】之擇領全額月退休金條件","")))</f>
      </c>
      <c r="AT95" s="119" t="str">
        <f t="shared" si="69"/>
        <v>符合「年齡滿65歲、年資滿15年」之屆齡退休擇領月退休金條件</v>
      </c>
      <c r="AU95" s="119">
        <f t="shared" si="70"/>
      </c>
      <c r="AV95" s="380" t="str">
        <f t="shared" si="71"/>
        <v>符合「年齡滿65歲、年資滿15年」之屆齡退休擇領月退休金條件</v>
      </c>
      <c r="AW95" s="120">
        <f aca="true" t="shared" si="194" ref="AW95:AW113">IF(AND(S95&gt;=65,T95&lt;15),1,0)</f>
        <v>0</v>
      </c>
      <c r="AX95" s="120">
        <f aca="true" t="shared" si="195" ref="AX95:AX113">IF(AND(S95&gt;=65,T95&gt;=15),1,0)</f>
        <v>1</v>
      </c>
      <c r="AY95" s="120" t="str">
        <f t="shared" si="174"/>
        <v>符合</v>
      </c>
      <c r="AZ95" s="120">
        <f aca="true" t="shared" si="196" ref="AZ95:AZ113">S95</f>
        <v>108</v>
      </c>
      <c r="BA95" s="120">
        <f aca="true" t="shared" si="197" ref="BA95:BA113">C95</f>
        <v>20811231</v>
      </c>
      <c r="BB95" s="120" t="str">
        <f aca="true" t="shared" si="198" ref="BB95:BB113">N95</f>
        <v>170.1.1~170.12.31</v>
      </c>
      <c r="BC95" s="121">
        <f t="shared" si="73"/>
      </c>
      <c r="BD95" s="122">
        <f t="shared" si="74"/>
      </c>
      <c r="BE95" s="122"/>
      <c r="BF95" s="120"/>
      <c r="BG95" s="123">
        <f t="shared" si="75"/>
      </c>
      <c r="BH95" s="31">
        <f t="shared" si="76"/>
        <v>1</v>
      </c>
      <c r="BI95" s="7">
        <f t="shared" si="77"/>
        <v>1</v>
      </c>
      <c r="BJ95" s="7"/>
      <c r="BK95" s="124">
        <f aca="true" t="shared" si="199" ref="BK95:BK113">IF(OR(B95&gt;=110,T95&lt;30),0,IF(AND(BH96=1,BH95=1),0,IF(AND(BH96=1,BH95=0),0.04,IF(AND(BH97=1,BH95=0),0.08,IF(AND(BH98=1,BH95=0),0.12,IF(AND(BH99=1,BH95=0),0.16,IF(AND(BH100=1,BH95=0),0.2,0)))))))</f>
        <v>0</v>
      </c>
      <c r="BL95" s="124">
        <f t="shared" si="79"/>
      </c>
      <c r="BM95" s="124">
        <f t="shared" si="80"/>
        <v>0</v>
      </c>
      <c r="BN95" s="124">
        <f t="shared" si="81"/>
      </c>
      <c r="BO95" s="124">
        <f t="shared" si="82"/>
        <v>0</v>
      </c>
      <c r="BP95" s="124">
        <f aca="true" t="shared" si="200" ref="BP95:BP113">IF(AND(BJ95=0,BJ94=1),"●",IF(AND(BO94=0.04,BO95=0),"●",IF(BO95&gt;0,BO95,"")))</f>
      </c>
      <c r="BQ95" s="33"/>
      <c r="BR95" s="33"/>
      <c r="BS95" s="33"/>
      <c r="BT95" s="33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4"/>
      <c r="CH95" s="34"/>
      <c r="CI95" s="34"/>
      <c r="CJ95" s="34"/>
      <c r="CK95" s="183">
        <f aca="true" t="shared" si="201" ref="CK95:CK113">IF($U$9+$U$10+$W$9+$W$10=0,$W$8,IF(AND($U$9-$U$10=0,$W$9-$W$10=0),$W$8,IF(M95=0,1,IF(AND(MOD(D95,4)=0,CR95=2),29-M95+1,IF(AND(MOD(D95,4)&gt;0,CR95=2),28-M95+1,IF(OR(CR95=4,CR95=6,CR95=9,CR95=11),30-M95+1,31-M95+1))))))</f>
        <v>13</v>
      </c>
      <c r="CL95" s="7">
        <f aca="true" t="shared" si="202" ref="CL95:CL113">IF($S$9+$S$10+$U$9+$U$10+$W$9+$W$10=0,$CR$9,IF(AND(L95=0,M95=0),1,IF(AND(L95&gt;0,M95=0),12-L95+1,12-L95)))</f>
        <v>12</v>
      </c>
      <c r="CM95" s="20">
        <f aca="true" t="shared" si="203" ref="CM95:CM113">IF($S$5="公務人員",D95-1911,D95-1911)</f>
        <v>170</v>
      </c>
      <c r="CN95" s="382">
        <f t="shared" si="83"/>
        <v>66462</v>
      </c>
      <c r="CO95" s="185">
        <f t="shared" si="84"/>
        <v>12</v>
      </c>
      <c r="CP95" s="2">
        <f t="shared" si="138"/>
        <v>17</v>
      </c>
      <c r="CQ95" s="382">
        <f t="shared" si="85"/>
        <v>66458</v>
      </c>
      <c r="CR95" s="185">
        <f t="shared" si="135"/>
        <v>12</v>
      </c>
      <c r="CS95" s="2">
        <f t="shared" si="136"/>
        <v>13</v>
      </c>
      <c r="CT95" s="2" t="str">
        <f t="shared" si="139"/>
        <v>初任</v>
      </c>
      <c r="CU95" s="382">
        <f t="shared" si="87"/>
        <v>66458</v>
      </c>
      <c r="CV95" s="2">
        <f t="shared" si="140"/>
        <v>12</v>
      </c>
      <c r="CW95" s="2" t="str">
        <f t="shared" si="141"/>
        <v>生日</v>
      </c>
      <c r="CX95" s="382">
        <f t="shared" si="90"/>
        <v>66462</v>
      </c>
      <c r="CY95" s="2">
        <f t="shared" si="142"/>
        <v>12</v>
      </c>
      <c r="CZ95" s="2">
        <f aca="true" t="shared" si="204" ref="CZ95:CZ113">IF(BG95="",0,1)</f>
        <v>0</v>
      </c>
      <c r="DA95" s="2">
        <f t="shared" si="92"/>
      </c>
      <c r="DB95" s="2">
        <f aca="true" t="shared" si="205" ref="DB95:DB113">IF(DA95="","",IF(OR(AND(R95=90,$S$5="公務人員"),AND(R95=85,$S$5="高中以下教師")),"",U95-R95))</f>
      </c>
      <c r="DC95" s="2">
        <f t="shared" si="93"/>
      </c>
      <c r="DD95" s="2">
        <f t="shared" si="94"/>
      </c>
      <c r="DE95" s="2">
        <f t="shared" si="95"/>
      </c>
      <c r="DF95" s="2">
        <f aca="true" t="shared" si="206" ref="DF95:DF155">IF(DD95="","",IF(DE95="",IF(OR(AND(DD95&gt;7,OR(AND(CO95&gt;1,CO95&lt;=7),AND(CR95&gt;1,CR95&lt;=7))),AND(DD95&gt;7,OR(RIGHT(CN95,4)=".8.1",RIGHT(CQ95,4)=".8.1"))),CM95+1&amp;".8.1。【說明：原實際條件成就之日期為"&amp;DC95&amp;"，惟因須配合學期暨受次年度指標數增加之影響，而必須二次遞延至當學年度結束之次日，始能退休生效，爰推算為"&amp;CM95+1&amp;".8.1】",CM95+2&amp;".2.1。【說明：原實際條件成就之日期為"&amp;DC95&amp;"，惟因須配合學期暨受次年度指標數增加之影響，而必須三次遞延至次學年度第一學期結束之次日，始能退休生效，爰推算為"&amp;CM95+2&amp;".2.1】"),""))</f>
      </c>
      <c r="DG95" s="129">
        <f aca="true" t="shared" si="207" ref="DG95:DG113">IF(DD95="","",IF(RIGHT(DC95,4)=".8.1",CM95&amp;".8.1",IF(RIGHT(DC95,4)=".2.1",CM95&amp;".2.1",DE95&amp;DF95)))</f>
      </c>
      <c r="DH95" s="2">
        <f aca="true" t="shared" si="208" ref="DH95:DH113">IF(AND(DA95=75,DB95=1,S95=50,T95&gt;25),CN95,IF(AND(DA95=75,DB95=1,S95&gt;50,T95=25),CQ95,IF(AND(DA95=75,DB95=1,S95&gt;50,T95&gt;25,S69="公務人員"),CM95&amp;".1.1",IF(AND(DA95=75,DB95=1,S95&gt;50,T95&gt;25,S69="高中以下教師"),CM95&amp;".1.1",""))))</f>
      </c>
      <c r="DI95" s="2">
        <f t="shared" si="96"/>
      </c>
      <c r="DJ95" s="129">
        <f t="shared" si="97"/>
      </c>
      <c r="DK95" s="2">
        <f aca="true" t="shared" si="209" ref="DK95:DK113">IF(AND(DA95=75,DB95&gt;=2,S95=50,T95&gt;25),CN95,IF(AND(DA95=75,DB95&gt;=2,S95&gt;50,T95=25),CQ95,IF(AND(DA95=75,DB95&gt;=2,S95&gt;50,T95&gt;25,S69="公務人員"),CM95&amp;".1.1",IF(AND(DA95=75,DB95&gt;=2,S95&gt;50,T95&gt;25,S69="高中以下教師"),CM95&amp;".1.1",""))))</f>
      </c>
      <c r="DL95" s="2">
        <f t="shared" si="98"/>
      </c>
      <c r="DM95" s="129">
        <f t="shared" si="99"/>
      </c>
      <c r="DN95" s="2">
        <f aca="true" t="shared" si="210" ref="DN95:DN122">IF(AND(DA95=55,S95=55,T95=30),CY95,IF(AND(DA95=55,S95&gt;55,T95=30),CR95,IF(AND(DA95=55,S95=55,T95&gt;30),CO95,"")))</f>
      </c>
      <c r="DO95" s="2">
        <f aca="true" t="shared" si="211" ref="DO95:DO122">IF(AND(DA95=55,S95=55,T95=30),CX95,IF(AND(DA95=55,S95&gt;55,T95=30),CQ95,IF(AND(DA95=55,S95=55,T95&gt;30),CN95,"")))</f>
      </c>
      <c r="DP95" s="129">
        <f t="shared" si="100"/>
      </c>
      <c r="DQ95" s="2">
        <f aca="true" t="shared" si="212" ref="DQ95:DQ122">IF(AND(DA95=60,S95=60,T95=15),CY95,IF(AND(DA95=60,S95&gt;60,T95=15),CR95,IF(AND(DA95=60,S95=60,T95&gt;15),CO95,"")))</f>
      </c>
      <c r="DR95" s="2">
        <f aca="true" t="shared" si="213" ref="DR95:DR122">IF(AND(DA95=60,S95=60,T95=15),CX95,IF(AND(DA95=60,S95&gt;60,T95=15),CQ95,IF(AND(DA95=60,S95=60,T95&gt;15),CN95,"")))</f>
      </c>
      <c r="DS95" s="129">
        <f t="shared" si="101"/>
      </c>
      <c r="DT95" s="2">
        <f aca="true" t="shared" si="214" ref="DT95:DT122">IF(AND(DA95=85,S95=55,T95=30),CY95,IF(AND(DA95=85,S95&gt;55,T95=30),CR95,IF(AND(DA95=85,S95=55,T95&gt;30),CO95,IF(AND(DA95=85,S95=60,T95=15),CY95,IF(AND(DA95=85,S95&gt;60,T95=15),CR95,IF(AND(DA95=85,S95=60,T95&gt;15),CO95,""))))))</f>
      </c>
      <c r="DU95" s="2">
        <f aca="true" t="shared" si="215" ref="DU95:DU122">IF(AND(DA95=85,S95=55,T95=30),CX95,IF(AND(DA95=85,S95&gt;55,T95=30),CQ95,IF(AND(DA95=85,S95=55,T95&gt;30),CN95,IF(AND(DA95=85,S95=60,T95=15),CX95,IF(AND(DA95=85,S95&gt;60,T95=15),CQ95,IF(AND(DA95=85,S95=60,T95&gt;15),CN95,""))))))</f>
      </c>
      <c r="DV95" s="129">
        <f t="shared" si="102"/>
      </c>
      <c r="DW95" s="2">
        <f t="shared" si="103"/>
      </c>
      <c r="DX95" s="2">
        <f t="shared" si="104"/>
      </c>
      <c r="DY95" s="129">
        <f t="shared" si="105"/>
      </c>
      <c r="DZ95" s="129"/>
      <c r="EA95" s="21">
        <f t="shared" si="106"/>
      </c>
      <c r="EB95" s="382">
        <f t="shared" si="107"/>
        <v>401769</v>
      </c>
      <c r="EC95" s="382">
        <f t="shared" si="108"/>
        <v>401769</v>
      </c>
      <c r="ED95" s="2">
        <f t="shared" si="184"/>
      </c>
      <c r="EE95" s="382">
        <f t="shared" si="110"/>
        <v>401769</v>
      </c>
      <c r="EF95" s="382">
        <f t="shared" si="185"/>
      </c>
      <c r="EG95" s="382">
        <f t="shared" si="186"/>
      </c>
      <c r="EH95" s="382"/>
      <c r="EI95" s="382">
        <f t="shared" si="187"/>
      </c>
      <c r="EJ95" s="208">
        <f t="shared" si="34"/>
        <v>401769</v>
      </c>
      <c r="EK95" s="2">
        <f t="shared" si="114"/>
      </c>
      <c r="EL95" s="2">
        <f aca="true" t="shared" si="216" ref="EL95:EL113">IF(EK95="","",IF(AND(R95&lt;85,EK95&gt;=113),"◆但@*%#...喔麥尬～上開生效日期已逾10年過渡期，仍否再適用指標數規定，恐有疑義！",""))</f>
      </c>
      <c r="EM95" s="34"/>
      <c r="EN95" s="7">
        <f aca="true" t="shared" si="217" ref="EN95:EN113">IF($S$5="公務人員",IF(AND(T95&gt;=15,S95&gt;=65),1,0),IF(AND(T95&gt;=15,S95&gt;=65),1,0))</f>
        <v>1</v>
      </c>
      <c r="EO95" s="124">
        <f aca="true" t="shared" si="218" ref="EO95:EO113">IF(T95&gt;=10,IF(AND(EN96=1,EN95=1),0,IF(AND(EN96=1,EN95=0),0.04,IF(AND(EN97=1,EN95=0),0.08,IF(AND(EN98=1,EN95=0),0.12,IF(AND(EN99=1,EN95=0),0.16,IF(AND(EN100=1,EN95=0),0.2,0)))))),0)</f>
        <v>0</v>
      </c>
      <c r="EP95" s="214" t="str">
        <f aca="true" t="shared" si="219" ref="EP95:EP113">IF(OR(AND(S95&gt;=60,T95&gt;=25),AND(S95&gt;=60,T95&gt;=15)),"●","")</f>
        <v>●</v>
      </c>
      <c r="EQ95" s="213" t="str">
        <f aca="true" t="shared" si="220" ref="EQ95:EQ113">IF(AND(S95&gt;=50,T95&gt;=25),"●","")</f>
        <v>●</v>
      </c>
      <c r="ER95" s="213" t="e">
        <f aca="true" t="shared" si="221" ref="ER95:ER113">IF(OR(AND($S$5="公務人員",T95&gt;=30,S95&gt;=55),AND($S$5="公務人員",T95&gt;=25,S95&gt;=60),AND($S$5="公務人員",T95&gt;=15,S95&gt;=60),AND($S$5="高中以下教師",T95&gt;=30,S95&gt;=50),AND($S$5="高中以下教師",T95&gt;=25,S95&gt;=55)),-1*BP95,"")</f>
        <v>#VALUE!</v>
      </c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2"/>
      <c r="FD95" s="20"/>
      <c r="FE95" s="20">
        <f t="shared" si="115"/>
        <v>170</v>
      </c>
      <c r="FF95" s="2">
        <f t="shared" si="116"/>
        <v>1</v>
      </c>
      <c r="FG95" s="2">
        <f t="shared" si="117"/>
        <v>1</v>
      </c>
      <c r="FH95" s="2">
        <f t="shared" si="118"/>
        <v>1</v>
      </c>
      <c r="FI95" s="2">
        <f t="shared" si="119"/>
        <v>1</v>
      </c>
      <c r="FJ95" s="20"/>
      <c r="FK95" s="326">
        <f t="shared" si="120"/>
        <v>0</v>
      </c>
      <c r="FL95" s="326">
        <f t="shared" si="121"/>
        <v>0</v>
      </c>
      <c r="FM95" s="326">
        <f t="shared" si="122"/>
        <v>0</v>
      </c>
      <c r="FN95" s="326">
        <f t="shared" si="123"/>
        <v>0</v>
      </c>
      <c r="FP95" s="326"/>
      <c r="FQ95" s="326"/>
      <c r="FR95" s="326"/>
      <c r="FS95" s="326"/>
      <c r="GF95" s="2">
        <v>65</v>
      </c>
      <c r="GG95" s="2">
        <f t="shared" si="128"/>
        <v>1</v>
      </c>
      <c r="GH95" s="2">
        <f t="shared" si="129"/>
      </c>
      <c r="GI95" s="20">
        <f t="shared" si="130"/>
      </c>
      <c r="GJ95" s="20"/>
      <c r="GK95" s="20">
        <f t="shared" si="131"/>
      </c>
    </row>
    <row r="96" spans="1:193" s="29" customFormat="1" ht="15.75" customHeight="1" hidden="1" thickBot="1" thickTop="1">
      <c r="A96" s="144"/>
      <c r="B96" s="150">
        <f t="shared" si="132"/>
        <v>171</v>
      </c>
      <c r="C96" s="26">
        <f aca="true" t="shared" si="222" ref="C96:C113">VALUE(IF($S$5="公務人員",B96+1911&amp;"1231",B96+1911&amp;"1231"))</f>
        <v>20821231</v>
      </c>
      <c r="D96" s="26" t="str">
        <f aca="true" t="shared" si="223" ref="D96:D113">LEFT(C96,4)</f>
        <v>2082</v>
      </c>
      <c r="E96" s="26" t="str">
        <f aca="true" t="shared" si="224" ref="E96:E113">MID(C96,5,2)</f>
        <v>12</v>
      </c>
      <c r="F96" s="26" t="str">
        <f aca="true" t="shared" si="225" ref="F96:F113">RIGHT(C96,2)</f>
        <v>31</v>
      </c>
      <c r="G96" s="26" t="str">
        <f aca="true" t="shared" si="226" ref="G96:G113">D96&amp;"/"&amp;E96&amp;"/"&amp;F96</f>
        <v>2082/12/31</v>
      </c>
      <c r="H96" s="117">
        <f t="shared" si="188"/>
        <v>89</v>
      </c>
      <c r="I96" s="117">
        <f aca="true" t="shared" si="227" ref="I96:I113">IF(IF(G96=DATE(YEAR(G96),MONTH(G96)+1,1)-1,IF(MONTH(G96)&gt;=MONTH($Z$8),MONTH(G96)-MONTH($Z$8),MONTH(4)+12-MONTH($Z$8)+1),IF(MONTH(G96)&gt;=MONTH($Z$8),MONTH(G96)-MONTH($Z$8)-(DAY(G96)&lt;DAY($Z$8))+12*(MONTH(G96)=MONTH($Z$8)),MONTH(G96)+12-MONTH($Z$8)-(DAY(G96)&lt;DAY($Z$8))))=12,0,IF(G96=DATE(YEAR(G96),MONTH(G96)+1,1)-1,IF(MONTH(G96)&gt;=MONTH($Z$8),MONTH(G96)-MONTH($Z$8),MONTH(4)+12-MONTH($Z$8)+1),IF(MONTH(G96)&gt;=MONTH($Z$8),MONTH(G96)-MONTH($Z$8)-(DAY(G96)&lt;DAY($Z$8))+12*(MONTH(G96)=MONTH($Z$8)),MONTH(G96)+12-MONTH($Z$8)-(DAY(G96)&lt;DAY($Z$8)))))</f>
        <v>0</v>
      </c>
      <c r="J96" s="26">
        <f t="shared" si="173"/>
        <v>18</v>
      </c>
      <c r="K96" s="118">
        <f t="shared" si="189"/>
        <v>89</v>
      </c>
      <c r="L96" s="118">
        <f t="shared" si="190"/>
        <v>0</v>
      </c>
      <c r="M96" s="118">
        <f t="shared" si="191"/>
        <v>18</v>
      </c>
      <c r="N96" s="609" t="str">
        <f aca="true" t="shared" si="228" ref="N96:N113">IF($S$5="公務人員",B96&amp;".1.1~"&amp;B96&amp;".12.31",B96&amp;".1.1~"&amp;B96&amp;".12.31")</f>
        <v>171.1.1~171.12.31</v>
      </c>
      <c r="O96" s="610"/>
      <c r="P96" s="610"/>
      <c r="Q96" s="611"/>
      <c r="R96" s="292" t="str">
        <f t="shared" si="134"/>
        <v>65</v>
      </c>
      <c r="S96" s="338">
        <f aca="true" t="shared" si="229" ref="S96:S113">DATEDIF(DATE($S$7+1911,$U$7,$W$7),G96,"Y")</f>
        <v>109</v>
      </c>
      <c r="T96" s="339">
        <f aca="true" t="shared" si="230" ref="T96:T113">DATEDIF(DATE($AE$9+1911,$AF$9,$AG$9),G96,"Y")</f>
        <v>89</v>
      </c>
      <c r="U96" s="204">
        <f aca="true" t="shared" si="231" ref="U96:U113">IF($S$7="","",IF($Z$8&gt;G96,"",S96+T96))</f>
        <v>198</v>
      </c>
      <c r="V96" s="149"/>
      <c r="W96" s="613">
        <f t="shared" si="176"/>
      </c>
      <c r="X96" s="614"/>
      <c r="Y96" s="614"/>
      <c r="Z96" s="615"/>
      <c r="AA96" s="262">
        <f aca="true" t="shared" si="232" ref="AA96:AA113">IF(OR($S$7="",S96&gt;60),"",IF(AND(S96&gt;=60,T96&gt;=15,V96=60),"●",IF(OR(AND(S96&gt;=60,T96&gt;=15,S96&lt;=60,AA95="●"),AND(S96&gt;=60,T96&gt;=15,S96&lt;=60,AA95="○")),"○",IF(AND(B96&gt;=111,T96&lt;25),"",IF(AND(B96&lt;115,V96&lt;=60,S96&gt;=5,T96&gt;=25),"●",IF(AND(B96&gt;=111,S96&gt;=5,T96&gt;=25,OR(AA95="○",AA95="●")),"○",""))))))</f>
      </c>
      <c r="AB96" s="318">
        <f aca="true" t="shared" si="233" ref="AB96:AB113">IF(OR($S$7="",S96&gt;61),"",IF(AND(S96&gt;=60,T96&gt;=15,V96=61),"●",IF(OR(AND(S96&gt;=60,T96&gt;=15,S96&lt;=61,AB95="●"),AND(S96&gt;=60,T96&gt;=15,S96&lt;=61,AB95="○")),"○",IF(AND(B96&gt;=112,T96&lt;25),"",IF(AND(B96&lt;115,V96&lt;=61,B96&gt;109,V96&gt;=61,S96&gt;=5,T96&gt;=25),"●",IF(AND(S96&gt;=5,T96&gt;=25,OR(AB95="○",AB95="●")),"○",""))))))</f>
      </c>
      <c r="AC96" s="318">
        <f aca="true" t="shared" si="234" ref="AC96:AC113">IF(OR($S$7="",S96&gt;62),"",IF(AND(S96&gt;=60,T96&gt;=15,V96=62),"●",IF(OR(AND(S96&gt;=60,T96&gt;=15,S96&lt;=62,AC95="●"),AND(S96&gt;=60,T96&gt;=15,S96&lt;=62,AC95="○")),"○",IF(AND(B96&gt;=113,T96&lt;25),"",IF(AND(B96&lt;115,V96&lt;=62,B96&gt;109,S96&gt;=5,V96&gt;=62,T96&gt;=25),"●",IF(AND(S96&gt;=5,T96&gt;=25,OR(AC95="○",AC95="●")),"○",""))))))</f>
      </c>
      <c r="AD96" s="220">
        <f aca="true" t="shared" si="235" ref="AD96:AD113">IF(OR($S$7="",S96&gt;63),"",IF(AND(S96&gt;=60,T96&gt;=15,V96=63),"●",IF(OR(AND(S96&gt;=60,T96&gt;=15,S96&lt;=63,AD95="●"),AND(S96&gt;=60,T96&gt;=15,S96&lt;=63,AD95="○")),"○",IF(AND(B96&gt;=114,T96&lt;25),"",IF(AND(B96&lt;115,V96&lt;=63,B96&gt;109,V96&gt;=63,S96&gt;=5,T96&gt;=25),"●",IF(AND(S96&gt;=5,T96&gt;=25,OR(AD95="○",AD95="●")),"○",""))))))</f>
      </c>
      <c r="AE96" s="262">
        <f aca="true" t="shared" si="236" ref="AE96:AE113">IF(OR($S$7="",S96&gt;64),"",IF(AND(S96&gt;=60,T96&gt;=15,V96=64),"●",IF(OR(AND(S96&gt;=60,T96&gt;=15,S96&lt;=64,AE95="●"),AND(S96&gt;=60,T96&gt;=15,S96&lt;=64,AE95="○")),"○",IF(AND(B96&gt;=115,T96&lt;25),"",IF(AND(B96&lt;115,V96&lt;=64,B96&gt;109,V96&gt;=64,S96&gt;=5,T96&gt;=25),"●",IF(AND(S96&gt;=5,T96&gt;=25,OR(AE95="○",AE95="●")),"○",""))))))</f>
      </c>
      <c r="AF96" s="231">
        <f aca="true" t="shared" si="237" ref="AF96:AF113">IF($S$7="","",IF(COUNTIF(Z96:AE96,"●")&gt;0,"",IF(AND(S96&gt;65,T96&gt;=25),"",IF(AND(S96&gt;=60,T96&gt;=15),"●",IF(AND(S96&gt;=5,T96&gt;=25),"●","")))))</f>
      </c>
      <c r="AG96" s="310">
        <f aca="true" t="shared" si="238" ref="AG96:AG113">IF($S$7="","",IF(BL96="","",IF(BL96="●","★",-1*BL96)))</f>
      </c>
      <c r="AH96" s="227">
        <f aca="true" t="shared" si="239" ref="AH96:AH113">IF($S$7="","",IF(BN96="","",IF(BN96="●","★",IF(V96&lt;&gt;60,"",-1*BN96))))</f>
      </c>
      <c r="AI96" s="320">
        <f aca="true" t="shared" si="240" ref="AI96:AI113">IF($S$7="","",IF(FP96="","",IF(FP96="●","★",IF(V96&lt;&gt;61,"",-1*FP96))))</f>
      </c>
      <c r="AJ96" s="320">
        <f aca="true" t="shared" si="241" ref="AJ96:AJ113">IF($S$7="","",IF(FQ96="","",IF(FQ96="●","★",IF(V96&lt;&gt;62,"",-1*FQ96))))</f>
      </c>
      <c r="AK96" s="320">
        <f aca="true" t="shared" si="242" ref="AK96:AK113">IF($S$7="","",IF(FR96="","",IF(FR96="●","★",IF(V96&lt;&gt;63,"",-1*FR96))))</f>
      </c>
      <c r="AL96" s="320">
        <f aca="true" t="shared" si="243" ref="AL96:AL113">IF($S$7="","",IF(FS96="","",IF(FS96="●","★",IF(V96&lt;&gt;64,"",-1*FS96))))</f>
      </c>
      <c r="AM96" s="282">
        <f aca="true" t="shared" si="244" ref="AM96:AM113">IF($S$7="","",IF(BP96="","",IF(SUM(AG96:AL96)&lt;&gt;0,"",IF(BP96="●","★",IF(V96&gt;65,"",-1*BP96)))))</f>
      </c>
      <c r="AN96" s="103"/>
      <c r="AO96" s="119">
        <f t="shared" si="192"/>
        <v>0</v>
      </c>
      <c r="AP96" s="119">
        <f aca="true" t="shared" si="245" ref="AP96:AP113">GG96</f>
        <v>1</v>
      </c>
      <c r="AQ96" s="119">
        <f aca="true" t="shared" si="246" ref="AQ96:AQ113">IF(OR(AND(C96&lt;20210101,S96&gt;=60,T96&gt;=25),AND(C96&gt;=20210101,S96&gt;=V96,T96&gt;=25)),1,IF(AND(C96&lt;20210101,S96&gt;=55,T96&gt;=30),1,0)*0)</f>
        <v>1</v>
      </c>
      <c r="AR96" s="119">
        <f>IF(OR(AO96+AP96+AQ96+GG96&gt;0,SUM($AO$30:AQ95)+GG95&gt;0),1,0)</f>
        <v>1</v>
      </c>
      <c r="AS96" s="119">
        <f t="shared" si="193"/>
      </c>
      <c r="AT96" s="119" t="str">
        <f aca="true" t="shared" si="247" ref="AT96:AT113">IF(AO96=1,"",IF(AP96=1,"符合「年齡滿"&amp;GF96&amp;"歲、年資滿15年」之屆齡退休擇領月退休金條件",""))</f>
        <v>符合「年齡滿65歲、年資滿15年」之屆齡退休擇領月退休金條件</v>
      </c>
      <c r="AU96" s="119">
        <f aca="true" t="shared" si="248" ref="AU96:AU113">IF(OR(AO96=1,AP96=1),"",IF(AND(B96&lt;110,AQ96=1),"符合109年(含)以前，「年齡滿60歲、年資滿25年」或「年齡滿55歲、年資滿30年」，且【年資＋年齡≧當年法定指標數】之擇領月退休條件",IF(AND(B96&gt;=110,AQ96=1),"符合114年(含)以前，「年齡滿法定退休年齡"&amp;V96&amp;"歲、年資滿25年」之擇領月退休條件","")))</f>
      </c>
      <c r="AV96" s="380" t="str">
        <f aca="true" t="shared" si="249" ref="AV96:AV113">IF(EG96=CU96,GH96,CONCATENATE(AS96,AT96,AU96))</f>
        <v>符合「年齡滿65歲、年資滿15年」之屆齡退休擇領月退休金條件</v>
      </c>
      <c r="AW96" s="120">
        <f t="shared" si="194"/>
        <v>0</v>
      </c>
      <c r="AX96" s="120">
        <f t="shared" si="195"/>
        <v>1</v>
      </c>
      <c r="AY96" s="120" t="str">
        <f t="shared" si="174"/>
        <v>符合</v>
      </c>
      <c r="AZ96" s="120">
        <f t="shared" si="196"/>
        <v>109</v>
      </c>
      <c r="BA96" s="120">
        <f t="shared" si="197"/>
        <v>20821231</v>
      </c>
      <c r="BB96" s="120" t="str">
        <f t="shared" si="198"/>
        <v>171.1.1~171.12.31</v>
      </c>
      <c r="BC96" s="121">
        <f aca="true" t="shared" si="250" ref="BC96:BC113">IF(AZ96&gt;65,"",IF($AX$7&gt;$AX$8,"",IF(AW96&gt;0,"★您將於"&amp;BB96&amp;"之間達到屆齡退休限齡，但因年資未滿15年，無法擇領月退休金",IF(AX96&gt;0,"★您將於"&amp;BB96&amp;"之間達到屆齡退休限齡，且因年資已滿15年，可以擇領月退休金",""))))</f>
      </c>
      <c r="BD96" s="122">
        <f aca="true" t="shared" si="251" ref="BD96:BD113">IF(AZ96&gt;65,"",IF($AX$7&gt;$AX$8,"",IF(AND(AW96=0,AX96=0),"","★ 您自本區間起，達到屆齡退休限齡")))</f>
      </c>
      <c r="BE96" s="122"/>
      <c r="BF96" s="120"/>
      <c r="BG96" s="123">
        <f aca="true" t="shared" si="252" ref="BG96:BG113">IF(R96&lt;$BG$24,IF($AX$7&gt;$AX$8,IF(AR96=0,"",IF(AR96=AR95,"","您將在【"&amp;N96&amp;"】間，"&amp;AV96)),BC96),IF($AX$7&gt;=$AX$8,IF(AR96=0,"",IF(AR96=AR95,"","您將在緩衝期後的【"&amp;N96&amp;"】期間，達到"&amp;AV96)),BC96))</f>
      </c>
      <c r="BH96" s="31">
        <f aca="true" t="shared" si="253" ref="BH96:BH113">IF(OR(S96&gt;=65,AND(T96&gt;=30,S96&gt;=55)),1,0)</f>
        <v>1</v>
      </c>
      <c r="BI96" s="7">
        <f aca="true" t="shared" si="254" ref="BI96:BI113">IF(OR(S96&gt;=65,AND(T96&gt;=25,S96&gt;=60)),1,0)</f>
        <v>1</v>
      </c>
      <c r="BJ96" s="7"/>
      <c r="BK96" s="124">
        <f t="shared" si="199"/>
        <v>0</v>
      </c>
      <c r="BL96" s="124">
        <f aca="true" t="shared" si="255" ref="BL96:BL113">IF(BH96+BH95=1,"●",IF(BK95=0.04,"●",IF(BK96&gt;0,BK96,"")))</f>
      </c>
      <c r="BM96" s="124">
        <f aca="true" t="shared" si="256" ref="BM96:BM113">IF(OR(B96&gt;=115,T96&lt;25),0,IF(AND(BI97=1,BI96=1),0,IF(AND(BI97=1,BI96=0),0.04,IF(AND(BI98=1,BI96=0),0.08,IF(AND(BI99=1,BI96=0),0.12,IF(AND(BI100=1,BI96=0),0.16,IF(AND(BI101=1,BI96=0),0.2,0)))))))</f>
        <v>0</v>
      </c>
      <c r="BN96" s="124">
        <f aca="true" t="shared" si="257" ref="BN96:BN113">IF(BI96+BI95=1,"●",IF(BM95=0.04,"●",IF(BM96&gt;0,BM96,"")))</f>
      </c>
      <c r="BO96" s="124">
        <f aca="true" t="shared" si="258" ref="BO96:BO113">IF(BJ96=1,0.04,IF(BJ96=2,0.08,IF(BJ96=3,0.12,IF(BJ96=4,0.16,IF(BJ96=5,0.2,0)))))</f>
        <v>0</v>
      </c>
      <c r="BP96" s="124">
        <f t="shared" si="200"/>
      </c>
      <c r="BQ96" s="33"/>
      <c r="BR96" s="33"/>
      <c r="BS96" s="33"/>
      <c r="BT96" s="33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4"/>
      <c r="CH96" s="34"/>
      <c r="CI96" s="34"/>
      <c r="CJ96" s="34"/>
      <c r="CK96" s="183">
        <f t="shared" si="201"/>
        <v>13</v>
      </c>
      <c r="CL96" s="7">
        <f t="shared" si="202"/>
        <v>12</v>
      </c>
      <c r="CM96" s="20">
        <f t="shared" si="203"/>
        <v>171</v>
      </c>
      <c r="CN96" s="382">
        <f aca="true" t="shared" si="259" ref="CN96:CN113">DATE(1911+CM96,$U$7,$W$7)</f>
        <v>66827</v>
      </c>
      <c r="CO96" s="185">
        <f aca="true" t="shared" si="260" ref="CO96:CO113">$U$7</f>
        <v>12</v>
      </c>
      <c r="CP96" s="2">
        <f aca="true" t="shared" si="261" ref="CP96:CP113">$W$7</f>
        <v>17</v>
      </c>
      <c r="CQ96" s="382">
        <f aca="true" t="shared" si="262" ref="CQ96:CQ113">DATE(1911+CM96,$AF$9,$AG$9)</f>
        <v>66823</v>
      </c>
      <c r="CR96" s="185">
        <f t="shared" si="135"/>
        <v>12</v>
      </c>
      <c r="CS96" s="2">
        <f t="shared" si="136"/>
        <v>13</v>
      </c>
      <c r="CT96" s="2" t="str">
        <f aca="true" t="shared" si="263" ref="CT96:CT113">IF(CO96&gt;CR96,"初任",IF(CO96&lt;CR96,"生日",IF(CP96&gt;CS96,"初任","生日")))</f>
        <v>初任</v>
      </c>
      <c r="CU96" s="382">
        <f aca="true" t="shared" si="264" ref="CU96:CU113">MIN(CN96,CQ96)</f>
        <v>66823</v>
      </c>
      <c r="CV96" s="2">
        <f aca="true" t="shared" si="265" ref="CV96:CV113">IF(CT96="生日",CO96,CR96)</f>
        <v>12</v>
      </c>
      <c r="CW96" s="2" t="str">
        <f aca="true" t="shared" si="266" ref="CW96:CW113">IF(CO96&gt;CR96,"生日",IF(CO96&lt;CR96,"初任",IF(CP96&gt;CS96,"生日","初任")))</f>
        <v>生日</v>
      </c>
      <c r="CX96" s="382">
        <f aca="true" t="shared" si="267" ref="CX96:CX113">MAX(CN96,CQ96)</f>
        <v>66827</v>
      </c>
      <c r="CY96" s="2">
        <f aca="true" t="shared" si="268" ref="CY96:CY113">IF(CW96="生日",CO96,CR96)</f>
        <v>12</v>
      </c>
      <c r="CZ96" s="2">
        <f t="shared" si="204"/>
        <v>0</v>
      </c>
      <c r="DA96" s="2">
        <f aca="true" t="shared" si="269" ref="DA96:DA113">IF(CZ96=0,"",IF(AND(R96=90,$S$5="公務人員"),85,IF(AND(R96=85,$S$5="高中以下教師"),85,IF(S96=65,65,IF(AP96=1,60,IF(GG96=1,60,IF(AO96=1,75,IF(AQ96=1,55))))))))</f>
      </c>
      <c r="DB96" s="2">
        <f t="shared" si="205"/>
      </c>
      <c r="DC96" s="2">
        <f aca="true" t="shared" si="270" ref="DC96:DC113">IF(AND(DA96=75,DB96=0),CX96,"")</f>
      </c>
      <c r="DD96" s="2">
        <f aca="true" t="shared" si="271" ref="DD96:DD113">IF(DC96=CN96,CO96,IF(DC96=CQ96,CR96,""))</f>
      </c>
      <c r="DE96" s="2">
        <f aca="true" t="shared" si="272" ref="DE96:DE156">IF(DD96="","",IF(DD96=1,CM96&amp;".2.1。【說明：原實際條件成就之日期為"&amp;DC96&amp;"，惟因須配合學期而延至當學期結束之次日，始能退休生效，爰推算為"&amp;CM96&amp;".2.1】",IF(AND(DD96&lt;=7,DD96&gt;1),CM96&amp;".8.1。【說明：原實際條件成就之日期為"&amp;DC96&amp;"，惟因須配合學期而延至當學年度結束之次日，始能退休生效，爰推算為"&amp;CM96&amp;".8.1】",IF(OR(AND(DD96&gt;7,OR(CO96=1,CR96=1)),AND(DD96&gt;7,OR(RIGHT(CN96,4)=".2.1",RIGHT(CQ96,4)=".2.1"))),CM96+1&amp;".2.1。【說明：原實際條件成就之日期為"&amp;DC96&amp;"，惟因須配合學期而延至當學期結束之次日，始能退休生效，爰推算為"&amp;CM96+1&amp;".2.1】",""))))</f>
      </c>
      <c r="DF96" s="2">
        <f t="shared" si="206"/>
      </c>
      <c r="DG96" s="129">
        <f t="shared" si="207"/>
      </c>
      <c r="DH96" s="2">
        <f t="shared" si="208"/>
      </c>
      <c r="DI96" s="2">
        <f aca="true" t="shared" si="273" ref="DI96:DI113">IF(DH96=CM96&amp;".1.1",1,IF(DH96=CN96,CO96,IF(DH96=CQ96,CR96,"")))</f>
      </c>
      <c r="DJ96" s="129">
        <f aca="true" t="shared" si="274" ref="DJ96:DJ113">IF(DI96="","",IF(RIGHT(DH96,4)=".8.1",CM96&amp;".8.1",IF(RIGHT(DH96,4)=".2.1",CM96&amp;".2.1",IF(DH96=CM96&amp;".1.1",CM96&amp;".1.1"&amp;"以前。【說明：亦即新法案施行前已符規定，可擇領月退休金之退休日期不受新法案影響】",IF(DI96=1,CM96&amp;".2.1。【說明：原實際條件成就時間為"&amp;DH96&amp;"，惟因必須配合學期而延至當學期結束之次日，始能退休生效，爰推算為"&amp;CM96&amp;".2.1】",IF(AND(DI96&gt;1,DI96&lt;=7),CM96&amp;".8.1。【說明：原實際條件成就時間為"&amp;DH96&amp;"，惟因必須配合學期而延至當學年度結束之次日，始能退休生效，爰推算為"&amp;CM96&amp;".8.1】",CM96+1&amp;".2.1。【說明：實際條件成就時間為"&amp;DH96&amp;"，惟因必須配合學期而延至當學期結束之次日，始能退休生效，爰推算為"&amp;CM96+1&amp;".2.1】"))))))</f>
      </c>
      <c r="DK96" s="2">
        <f t="shared" si="209"/>
      </c>
      <c r="DL96" s="2">
        <f aca="true" t="shared" si="275" ref="DL96:DL113">IF(DK96=CM96&amp;".1.1",2,IF(DK96=CN96,CO96,IF(DK96=CQ96,CR96,"")))</f>
      </c>
      <c r="DM96" s="129">
        <f aca="true" t="shared" si="276" ref="DM96:DM113">IF(DL96="","",IF(RIGHT(DK96,4)=".8.1",CM96&amp;".8.1",IF(RIGHT(DK96,4)=".2.1",CM96&amp;".2.1",IF(DK96=CM96&amp;".1.1",CM96&amp;".1.1"&amp;"以前。【說明：亦即新法案施行前已符規定，可擇領月退休金之退休日期不受新法案影響】",IF(DL96=1,CM96&amp;".2.1。【說明：原實際條件成就時間為"&amp;DK96&amp;"，惟因必須配合學期而延至當學期結束之次日，始能退休生效，爰推算為"&amp;CM96&amp;".2.1】",IF(AND(DL96&lt;=7,DL96&gt;1),CM96&amp;".8.1。【說明：原實際條件成就時間為"&amp;DK96&amp;"，惟因必須配合學期而延至當學年度結束之次日，始能退休生效，爰推算為"&amp;CM96&amp;".8.1】",CM96+1&amp;".2.1。【說明：原實際條件成就時間為"&amp;DK96&amp;"，惟因必須配合學期而延至當學期結束之次日，始能退休生效，爰推算為"&amp;CM96+1&amp;".2.1】"))))))</f>
      </c>
      <c r="DN96" s="2">
        <f t="shared" si="210"/>
      </c>
      <c r="DO96" s="2">
        <f t="shared" si="211"/>
      </c>
      <c r="DP96" s="129">
        <f aca="true" t="shared" si="277" ref="DP96:DP113">IF(DN96="","",IF(RIGHT(DO96,4)=".8.1",CM96&amp;".8.1",IF(RIGHT(DO96,4)=".2.1",CM96&amp;".2.1",IF(DN96=1,CM96&amp;".2.1。【說明：原實際條件成就時間為"&amp;DO96&amp;"，惟因必須配合學期而延至當學期結束之次日，始能退休生效，爰推算為"&amp;CM96&amp;".2.1】",IF(AND(DN96&lt;=7,DN96&gt;1),CM96&amp;".8.1。【說明：原實際條件成就時間為"&amp;DO96&amp;"，惟因必須配合學期而延至當學年度結束之次日，始能退休生效，爰推算為"&amp;CM96&amp;".8.1】",CM96+1&amp;".2.1。【說明：原實際條件成就時間為"&amp;DO96&amp;"，惟因必須配合學期而延至當學期結束之次日，始能退休生效，爰推算為"&amp;CM96+1&amp;".2.1】")))))</f>
      </c>
      <c r="DQ96" s="2">
        <f t="shared" si="212"/>
      </c>
      <c r="DR96" s="2">
        <f t="shared" si="213"/>
      </c>
      <c r="DS96" s="129">
        <f aca="true" t="shared" si="278" ref="DS96:DS113">IF(DQ96="","",IF(RIGHT(DR96,4)=".8.1",CM96&amp;".8.1",IF(RIGHT(DR96,4)=".2.1",CM96&amp;".2.1",IF(DQ96=1,CM96&amp;".2.1。【說明：原實際條件成就時間為"&amp;DR96&amp;"，惟因必須配合學期而延至當學期結束之次日，始能退休生效，爰推算為"&amp;CM96&amp;".2.1】",IF(AND(DQ96&lt;=7,DQ96&gt;1),CM96&amp;".8.1。【說明：原實際條件成就時間為"&amp;DR96&amp;"，惟因必須配合學期而延至當學年度結束之次日，始能退休生效，爰推算為"&amp;CM96&amp;".8.1】",CM96+1&amp;".2.1。【說明：原實際條件成就時間為"&amp;DR96&amp;"，惟因必須配合學期而延至當學期結束之次日，始能退休生效，爰推算為"&amp;CM96+1&amp;".2.1】")))))</f>
      </c>
      <c r="DT96" s="2">
        <f t="shared" si="214"/>
      </c>
      <c r="DU96" s="2">
        <f t="shared" si="215"/>
      </c>
      <c r="DV96" s="129">
        <f aca="true" t="shared" si="279" ref="DV96:DV113">IF(DT96="","",IF(RIGHT(DU96,4)=".8.1",CM96&amp;".8.1",IF(RIGHT(DU96,4)=".2.1",CM96&amp;".2.1",IF(DT96=1,CM96&amp;".2.1。【說明：原實際條件成就時間為"&amp;DU96&amp;"，惟因必須配合學期而延至當學期結束之次日，始能退休生效，爰推算為"&amp;CM96&amp;".2.1】",IF(AND(DT96&lt;=7,DT96&gt;1),CM96&amp;".8.1。【說明：原實際條件成就時間為"&amp;DU96&amp;"，惟因必須配合學期而延至當學年度結束之次日，始能退休生效，爰推算為"&amp;CM96&amp;".8.1】",CM96+1&amp;".2.1。【說明：原實際條件成就時間為"&amp;DU96&amp;"，惟因必須配合學期而延至當學期結束之次日，始能退休生效，爰推算為"&amp;CM96+1&amp;".2.1】")))))</f>
      </c>
      <c r="DW96" s="2">
        <f aca="true" t="shared" si="280" ref="DW96:DW113">IF(DA96=65,CO96,"")</f>
      </c>
      <c r="DX96" s="2">
        <f aca="true" t="shared" si="281" ref="DX96:DX113">IF(DA96=65,CN96,"")</f>
      </c>
      <c r="DY96" s="129">
        <f aca="true" t="shared" si="282" ref="DY96:DY113">IF(DW96="","",IF(RIGHT(DX96,4)=".8.1",CM96&amp;".8.1",IF(RIGHT(DX96,4)=".2.1",CM96&amp;".2.1",IF(DW96=1,CM96&amp;".2.1。【說明：原實際條件成就時間為"&amp;DX96&amp;"，惟因必須配合學期而延至當學期結束之次日，始能退休生效，爰推算為"&amp;CM96&amp;".2.1】",IF(AND(DW96&lt;=7,DW96&gt;1),CM96&amp;".8.1。【說明：原實際條件成就時間為"&amp;DX96&amp;"，惟因必須配合學期而延至當學年度結束之次日，始能退休生效，爰推算為"&amp;CM96&amp;".8.1】",CM96+1&amp;".2.1。【說明：原實際條件成就時間為"&amp;DX96&amp;"，惟因必須配合學期而延至當學期結束之次日，始能退休生效，爰推算為"&amp;CM96+1&amp;".2.1】")))))</f>
      </c>
      <c r="DZ96" s="129"/>
      <c r="EA96" s="21">
        <f aca="true" t="shared" si="283" ref="EA96:EA113">CONCATENATE(DG96,DJ96,DM96,DP96,DS96,DV96,DY96)</f>
      </c>
      <c r="EB96" s="382">
        <f aca="true" t="shared" si="284" ref="EB96:EB113">IF(B96&gt;=120,DATE(3000,1,1),IF(AND(AO96=1,U96-R96=0),CX96,DATE(3000,1,1)))</f>
        <v>401769</v>
      </c>
      <c r="EC96" s="382">
        <f aca="true" t="shared" si="285" ref="EC96:EC113">IF(B96&gt;=120,DATE(3000,1,1),IF(AND(AO96=1,U96-R96=1,S96=FC96,T96&gt;25),CN96,IF(AND(AO96=1,U96-R96=1,S96=FC96,T96=25),CX96,IF(AND(AO96=1,U96-R96=1,S96&gt;FC96,T96=25),CQ96,IF(AND(AO96=1,U96-R96=1,S96&gt;FC96,T96&gt;25),CU96,DATE(3000,1,1))))))</f>
        <v>401769</v>
      </c>
      <c r="ED96" s="2">
        <f aca="true" t="shared" si="286" ref="ED96:ED113">IF(EC96=CX96,CY96,IF(EC96=CU96,CV96,""))</f>
      </c>
      <c r="EE96" s="382">
        <f aca="true" t="shared" si="287" ref="EE96:EE113">IF(B96&gt;=120,DATE(3000,1,1),IF(AND(AO96=1,U96-R96&gt;=2,S96&gt;FC96,T96&gt;25),DATE(B96+1911,1,1),IF(AND(AO96=1,U96-R96&gt;=2,S96=FC96,T96&gt;25),DATE(B96+1911,$U$7,$W$7),IF(AND(AO96=1,U96-R96&gt;=2,S96&gt;FC96,T96=25),DATE(B96+1911,$AF$9,$AG$9),DATE(3000,1,1)))))</f>
        <v>401769</v>
      </c>
      <c r="EF96" s="382">
        <f aca="true" t="shared" si="288" ref="EF96:EF113">IF(AND(DA96=55,S96=55,T96=30),CX96,IF(AND(DA96=55,S96&gt;55,T96=30),CQ96,IF(AND(DA96=55,S96=55,T96&gt;30),CN96,"")))</f>
      </c>
      <c r="EG96" s="382">
        <f aca="true" t="shared" si="289" ref="EG96:EG113">IF(AND(S96=GF96,T96=15),CX96,IF(AND(S96=GF96,T96=30),CU96,IF(AND(S96&gt;GF96,T96=15),CQ96,IF(AND(S96=GF96,T96&gt;15),CN96,""))))</f>
      </c>
      <c r="EH96" s="382"/>
      <c r="EI96" s="382">
        <f aca="true" t="shared" si="290" ref="EI96:EI113">IF(DA96=65,CN96,"")</f>
      </c>
      <c r="EJ96" s="208">
        <f aca="true" t="shared" si="291" ref="EJ96:EJ113">MIN(EB96,EC96,EE96,EF96,EG96,EI96)</f>
        <v>401769</v>
      </c>
      <c r="EK96" s="2">
        <f aca="true" t="shared" si="292" ref="EK96:EK113">IF(EA96="","",VALUE(LEFT(EA96,3)))</f>
      </c>
      <c r="EL96" s="2">
        <f t="shared" si="216"/>
      </c>
      <c r="EM96" s="34"/>
      <c r="EN96" s="7">
        <f t="shared" si="217"/>
        <v>1</v>
      </c>
      <c r="EO96" s="124">
        <f t="shared" si="218"/>
        <v>0</v>
      </c>
      <c r="EP96" s="214" t="str">
        <f t="shared" si="219"/>
        <v>●</v>
      </c>
      <c r="EQ96" s="213" t="str">
        <f t="shared" si="220"/>
        <v>●</v>
      </c>
      <c r="ER96" s="213" t="e">
        <f t="shared" si="221"/>
        <v>#VALUE!</v>
      </c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2"/>
      <c r="FD96" s="20"/>
      <c r="FE96" s="20">
        <f aca="true" t="shared" si="293" ref="FE96:FE113">B96</f>
        <v>171</v>
      </c>
      <c r="FF96" s="2">
        <f aca="true" t="shared" si="294" ref="FF96:FF113">IF(OR(S96&gt;=65,AND(T96&gt;=25,S96&gt;=61)),1,0)</f>
        <v>1</v>
      </c>
      <c r="FG96" s="2">
        <f aca="true" t="shared" si="295" ref="FG96:FG113">IF(OR(S96&gt;=65,AND(T96&gt;=25,S96&gt;=62)),1,0)</f>
        <v>1</v>
      </c>
      <c r="FH96" s="2">
        <f aca="true" t="shared" si="296" ref="FH96:FH113">IF(OR(S96&gt;=65,AND(T96&gt;=25,S96&gt;=63)),1,0)</f>
        <v>1</v>
      </c>
      <c r="FI96" s="2">
        <f aca="true" t="shared" si="297" ref="FI96:FI113">IF(OR(S96&gt;=65,AND(T96&gt;=25,S96&gt;=64)),1,0)</f>
        <v>1</v>
      </c>
      <c r="FJ96" s="20"/>
      <c r="FK96" s="326">
        <f aca="true" t="shared" si="298" ref="FK96:FK113">IF(OR(B96&gt;=115,T96&lt;25),0,IF(AND(FF97=1,FF96=1),0,IF(AND(FF97=1,FF96=0),0.04,IF(AND(FF98=1,FF96=0),0.08,IF(AND(FF99=1,FF96=0),0.12,IF(AND(FF100=1,FF96=0),0.16,IF(AND(FF101=1,FF96=0),0.2,0)))))))</f>
        <v>0</v>
      </c>
      <c r="FL96" s="326">
        <f aca="true" t="shared" si="299" ref="FL96:FL113">IF(OR(B96&gt;=115,T96&lt;25),0,IF(AND(FG97=1,FG96=1),0,IF(AND(FG97=1,FG96=0),0.04,IF(AND(FG98=1,FG96=0),0.08,IF(AND(FG99=1,FG96=0),0.12,IF(AND(FG100=1,FG96=0),0.16,IF(AND(FG101=1,FG96=0),0.2,0)))))))</f>
        <v>0</v>
      </c>
      <c r="FM96" s="326">
        <f aca="true" t="shared" si="300" ref="FM96:FM113">IF(OR(B96&gt;=115,T96&lt;25),0,IF(AND(FH97=1,FH96=1),0,IF(AND(FH97=1,FH96=0),0.04,IF(AND(FH98=1,FH96=0),0.08,IF(AND(FH99=1,FH96=0),0.12,IF(AND(FH100=1,FH96=0),0.16,IF(AND(FH101=1,FH96=0),0.2,0)))))))</f>
        <v>0</v>
      </c>
      <c r="FN96" s="326">
        <f aca="true" t="shared" si="301" ref="FN96:FN113">IF(OR(B96&gt;=115,T96&lt;25),0,IF(AND(FI97=1,FI96=1),0,IF(AND(FI97=1,FI96=0),0.04,IF(AND(FI98=1,FI96=0),0.08,IF(AND(FI99=1,FI96=0),0.12,IF(AND(FI100=1,FI96=0),0.16,IF(AND(FI101=1,FI96=0),0.2,0)))))))</f>
        <v>0</v>
      </c>
      <c r="FP96" s="326"/>
      <c r="FQ96" s="326"/>
      <c r="FR96" s="326"/>
      <c r="FS96" s="326"/>
      <c r="GF96" s="2">
        <v>65</v>
      </c>
      <c r="GG96" s="2">
        <f aca="true" t="shared" si="302" ref="GG96:GG113">IF(AND(S96&gt;=GF96,T96&gt;=15),1,0)</f>
        <v>1</v>
      </c>
      <c r="GH96" s="2">
        <f aca="true" t="shared" si="303" ref="GH96:GH113">IF(GG95=1,"",IF(EG96=CU96,"符合「年齡滿"&amp;GF96&amp;"歲、年資滿15年」之擇領月退休金條件",""))</f>
      </c>
      <c r="GI96" s="20">
        <f aca="true" t="shared" si="304" ref="GI96:GI113">IF($S$7="","",IF($AX$7&gt;=$AX$8,IF(AR96=0,"",IF(AND(R96&lt;94,AR96&gt;AR95),"已達法定指標，請參閱上方【分析結果】",IF(AND(R96&gt;=94,AR96&gt;AR95),"已符基本條件，請參閱上方【分析結果】",""))),BD96))</f>
      </c>
      <c r="GJ96" s="20"/>
      <c r="GK96" s="20">
        <f aca="true" t="shared" si="305" ref="GK96:GK113">CONCATENATE(GI96,GJ96)</f>
      </c>
    </row>
    <row r="97" spans="1:193" s="29" customFormat="1" ht="15.75" customHeight="1" hidden="1" thickBot="1" thickTop="1">
      <c r="A97" s="144"/>
      <c r="B97" s="150">
        <f aca="true" t="shared" si="306" ref="B97:B113">B96+1</f>
        <v>172</v>
      </c>
      <c r="C97" s="26">
        <f t="shared" si="222"/>
        <v>20831231</v>
      </c>
      <c r="D97" s="26" t="str">
        <f t="shared" si="223"/>
        <v>2083</v>
      </c>
      <c r="E97" s="26" t="str">
        <f t="shared" si="224"/>
        <v>12</v>
      </c>
      <c r="F97" s="26" t="str">
        <f t="shared" si="225"/>
        <v>31</v>
      </c>
      <c r="G97" s="26" t="str">
        <f t="shared" si="226"/>
        <v>2083/12/31</v>
      </c>
      <c r="H97" s="117">
        <f t="shared" si="188"/>
        <v>90</v>
      </c>
      <c r="I97" s="117">
        <f t="shared" si="227"/>
        <v>0</v>
      </c>
      <c r="J97" s="26">
        <f t="shared" si="173"/>
        <v>18</v>
      </c>
      <c r="K97" s="118">
        <f t="shared" si="189"/>
        <v>90</v>
      </c>
      <c r="L97" s="118">
        <f t="shared" si="190"/>
        <v>0</v>
      </c>
      <c r="M97" s="118">
        <f t="shared" si="191"/>
        <v>18</v>
      </c>
      <c r="N97" s="609" t="str">
        <f t="shared" si="228"/>
        <v>172.1.1~172.12.31</v>
      </c>
      <c r="O97" s="610"/>
      <c r="P97" s="610"/>
      <c r="Q97" s="611"/>
      <c r="R97" s="292" t="str">
        <f aca="true" t="shared" si="307" ref="R97:R113">IF(AND($S$5="公務人員",R96&gt;=94),"65",IF(AND($S$5="公務人員",R96&lt;94),R96+1))</f>
        <v>65</v>
      </c>
      <c r="S97" s="338">
        <f t="shared" si="229"/>
        <v>110</v>
      </c>
      <c r="T97" s="339">
        <f t="shared" si="230"/>
        <v>90</v>
      </c>
      <c r="U97" s="204">
        <f t="shared" si="231"/>
        <v>200</v>
      </c>
      <c r="V97" s="149"/>
      <c r="W97" s="613">
        <f t="shared" si="176"/>
      </c>
      <c r="X97" s="614"/>
      <c r="Y97" s="614"/>
      <c r="Z97" s="615"/>
      <c r="AA97" s="262">
        <f t="shared" si="232"/>
      </c>
      <c r="AB97" s="318">
        <f t="shared" si="233"/>
      </c>
      <c r="AC97" s="318">
        <f t="shared" si="234"/>
      </c>
      <c r="AD97" s="220">
        <f t="shared" si="235"/>
      </c>
      <c r="AE97" s="262">
        <f t="shared" si="236"/>
      </c>
      <c r="AF97" s="231">
        <f t="shared" si="237"/>
      </c>
      <c r="AG97" s="310">
        <f t="shared" si="238"/>
      </c>
      <c r="AH97" s="227">
        <f t="shared" si="239"/>
      </c>
      <c r="AI97" s="320">
        <f t="shared" si="240"/>
      </c>
      <c r="AJ97" s="320">
        <f t="shared" si="241"/>
      </c>
      <c r="AK97" s="320">
        <f t="shared" si="242"/>
      </c>
      <c r="AL97" s="320">
        <f t="shared" si="243"/>
      </c>
      <c r="AM97" s="282">
        <f t="shared" si="244"/>
      </c>
      <c r="AN97" s="103"/>
      <c r="AO97" s="119">
        <f t="shared" si="192"/>
        <v>0</v>
      </c>
      <c r="AP97" s="119">
        <f t="shared" si="245"/>
        <v>1</v>
      </c>
      <c r="AQ97" s="119">
        <f t="shared" si="246"/>
        <v>1</v>
      </c>
      <c r="AR97" s="119">
        <f>IF(OR(AO97+AP97+AQ97+GG97&gt;0,SUM($AO$30:AQ96)+GG96&gt;0),1,0)</f>
        <v>1</v>
      </c>
      <c r="AS97" s="119">
        <f t="shared" si="193"/>
      </c>
      <c r="AT97" s="119" t="str">
        <f t="shared" si="247"/>
        <v>符合「年齡滿65歲、年資滿15年」之屆齡退休擇領月退休金條件</v>
      </c>
      <c r="AU97" s="119">
        <f t="shared" si="248"/>
      </c>
      <c r="AV97" s="380" t="str">
        <f t="shared" si="249"/>
        <v>符合「年齡滿65歲、年資滿15年」之屆齡退休擇領月退休金條件</v>
      </c>
      <c r="AW97" s="120">
        <f t="shared" si="194"/>
        <v>0</v>
      </c>
      <c r="AX97" s="120">
        <f t="shared" si="195"/>
        <v>1</v>
      </c>
      <c r="AY97" s="120" t="str">
        <f t="shared" si="174"/>
        <v>符合</v>
      </c>
      <c r="AZ97" s="120">
        <f t="shared" si="196"/>
        <v>110</v>
      </c>
      <c r="BA97" s="120">
        <f t="shared" si="197"/>
        <v>20831231</v>
      </c>
      <c r="BB97" s="120" t="str">
        <f t="shared" si="198"/>
        <v>172.1.1~172.12.31</v>
      </c>
      <c r="BC97" s="121">
        <f t="shared" si="250"/>
      </c>
      <c r="BD97" s="122">
        <f t="shared" si="251"/>
      </c>
      <c r="BE97" s="122"/>
      <c r="BF97" s="120"/>
      <c r="BG97" s="123">
        <f t="shared" si="252"/>
      </c>
      <c r="BH97" s="31">
        <f t="shared" si="253"/>
        <v>1</v>
      </c>
      <c r="BI97" s="7">
        <f t="shared" si="254"/>
        <v>1</v>
      </c>
      <c r="BJ97" s="7"/>
      <c r="BK97" s="124">
        <f t="shared" si="199"/>
        <v>0</v>
      </c>
      <c r="BL97" s="124">
        <f t="shared" si="255"/>
      </c>
      <c r="BM97" s="124">
        <f t="shared" si="256"/>
        <v>0</v>
      </c>
      <c r="BN97" s="124">
        <f t="shared" si="257"/>
      </c>
      <c r="BO97" s="124">
        <f t="shared" si="258"/>
        <v>0</v>
      </c>
      <c r="BP97" s="124">
        <f t="shared" si="200"/>
      </c>
      <c r="BQ97" s="33"/>
      <c r="BR97" s="33"/>
      <c r="BS97" s="33"/>
      <c r="BT97" s="33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4"/>
      <c r="CH97" s="34"/>
      <c r="CI97" s="34"/>
      <c r="CJ97" s="34"/>
      <c r="CK97" s="183">
        <f t="shared" si="201"/>
        <v>13</v>
      </c>
      <c r="CL97" s="7">
        <f t="shared" si="202"/>
        <v>12</v>
      </c>
      <c r="CM97" s="20">
        <f t="shared" si="203"/>
        <v>172</v>
      </c>
      <c r="CN97" s="382">
        <f t="shared" si="259"/>
        <v>67192</v>
      </c>
      <c r="CO97" s="185">
        <f t="shared" si="260"/>
        <v>12</v>
      </c>
      <c r="CP97" s="2">
        <f t="shared" si="261"/>
        <v>17</v>
      </c>
      <c r="CQ97" s="382">
        <f t="shared" si="262"/>
        <v>67188</v>
      </c>
      <c r="CR97" s="185">
        <f aca="true" t="shared" si="308" ref="CR97:CR113">CR96</f>
        <v>12</v>
      </c>
      <c r="CS97" s="2">
        <f aca="true" t="shared" si="309" ref="CS97:CS113">CS96</f>
        <v>13</v>
      </c>
      <c r="CT97" s="2" t="str">
        <f t="shared" si="263"/>
        <v>初任</v>
      </c>
      <c r="CU97" s="382">
        <f t="shared" si="264"/>
        <v>67188</v>
      </c>
      <c r="CV97" s="2">
        <f t="shared" si="265"/>
        <v>12</v>
      </c>
      <c r="CW97" s="2" t="str">
        <f t="shared" si="266"/>
        <v>生日</v>
      </c>
      <c r="CX97" s="382">
        <f t="shared" si="267"/>
        <v>67192</v>
      </c>
      <c r="CY97" s="2">
        <f t="shared" si="268"/>
        <v>12</v>
      </c>
      <c r="CZ97" s="2">
        <f t="shared" si="204"/>
        <v>0</v>
      </c>
      <c r="DA97" s="2">
        <f t="shared" si="269"/>
      </c>
      <c r="DB97" s="2">
        <f t="shared" si="205"/>
      </c>
      <c r="DC97" s="2">
        <f t="shared" si="270"/>
      </c>
      <c r="DD97" s="2">
        <f t="shared" si="271"/>
      </c>
      <c r="DE97" s="2">
        <f t="shared" si="272"/>
      </c>
      <c r="DF97" s="2">
        <f t="shared" si="206"/>
      </c>
      <c r="DG97" s="129">
        <f t="shared" si="207"/>
      </c>
      <c r="DH97" s="2">
        <f t="shared" si="208"/>
      </c>
      <c r="DI97" s="2">
        <f t="shared" si="273"/>
      </c>
      <c r="DJ97" s="129">
        <f t="shared" si="274"/>
      </c>
      <c r="DK97" s="2">
        <f t="shared" si="209"/>
      </c>
      <c r="DL97" s="2">
        <f t="shared" si="275"/>
      </c>
      <c r="DM97" s="129">
        <f t="shared" si="276"/>
      </c>
      <c r="DN97" s="2">
        <f t="shared" si="210"/>
      </c>
      <c r="DO97" s="2">
        <f t="shared" si="211"/>
      </c>
      <c r="DP97" s="129">
        <f t="shared" si="277"/>
      </c>
      <c r="DQ97" s="2">
        <f t="shared" si="212"/>
      </c>
      <c r="DR97" s="2">
        <f t="shared" si="213"/>
      </c>
      <c r="DS97" s="129">
        <f t="shared" si="278"/>
      </c>
      <c r="DT97" s="2">
        <f t="shared" si="214"/>
      </c>
      <c r="DU97" s="2">
        <f t="shared" si="215"/>
      </c>
      <c r="DV97" s="129">
        <f t="shared" si="279"/>
      </c>
      <c r="DW97" s="2">
        <f t="shared" si="280"/>
      </c>
      <c r="DX97" s="2">
        <f t="shared" si="281"/>
      </c>
      <c r="DY97" s="129">
        <f t="shared" si="282"/>
      </c>
      <c r="DZ97" s="129"/>
      <c r="EA97" s="21">
        <f t="shared" si="283"/>
      </c>
      <c r="EB97" s="382">
        <f t="shared" si="284"/>
        <v>401769</v>
      </c>
      <c r="EC97" s="382">
        <f t="shared" si="285"/>
        <v>401769</v>
      </c>
      <c r="ED97" s="2">
        <f t="shared" si="286"/>
      </c>
      <c r="EE97" s="382">
        <f t="shared" si="287"/>
        <v>401769</v>
      </c>
      <c r="EF97" s="382">
        <f t="shared" si="288"/>
      </c>
      <c r="EG97" s="382">
        <f t="shared" si="289"/>
      </c>
      <c r="EH97" s="382"/>
      <c r="EI97" s="382">
        <f t="shared" si="290"/>
      </c>
      <c r="EJ97" s="208">
        <f t="shared" si="291"/>
        <v>401769</v>
      </c>
      <c r="EK97" s="2">
        <f t="shared" si="292"/>
      </c>
      <c r="EL97" s="2">
        <f t="shared" si="216"/>
      </c>
      <c r="EM97" s="34"/>
      <c r="EN97" s="7">
        <f t="shared" si="217"/>
        <v>1</v>
      </c>
      <c r="EO97" s="124">
        <f t="shared" si="218"/>
        <v>0</v>
      </c>
      <c r="EP97" s="214" t="str">
        <f t="shared" si="219"/>
        <v>●</v>
      </c>
      <c r="EQ97" s="213" t="str">
        <f t="shared" si="220"/>
        <v>●</v>
      </c>
      <c r="ER97" s="213" t="e">
        <f t="shared" si="221"/>
        <v>#VALUE!</v>
      </c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2"/>
      <c r="FD97" s="20"/>
      <c r="FE97" s="20">
        <f t="shared" si="293"/>
        <v>172</v>
      </c>
      <c r="FF97" s="2">
        <f t="shared" si="294"/>
        <v>1</v>
      </c>
      <c r="FG97" s="2">
        <f t="shared" si="295"/>
        <v>1</v>
      </c>
      <c r="FH97" s="2">
        <f t="shared" si="296"/>
        <v>1</v>
      </c>
      <c r="FI97" s="2">
        <f t="shared" si="297"/>
        <v>1</v>
      </c>
      <c r="FJ97" s="20"/>
      <c r="FK97" s="326">
        <f t="shared" si="298"/>
        <v>0</v>
      </c>
      <c r="FL97" s="326">
        <f t="shared" si="299"/>
        <v>0</v>
      </c>
      <c r="FM97" s="326">
        <f t="shared" si="300"/>
        <v>0</v>
      </c>
      <c r="FN97" s="326">
        <f t="shared" si="301"/>
        <v>0</v>
      </c>
      <c r="FP97" s="326"/>
      <c r="FQ97" s="326"/>
      <c r="FR97" s="326"/>
      <c r="FS97" s="326"/>
      <c r="GF97" s="2">
        <v>65</v>
      </c>
      <c r="GG97" s="2">
        <f t="shared" si="302"/>
        <v>1</v>
      </c>
      <c r="GH97" s="2">
        <f t="shared" si="303"/>
      </c>
      <c r="GI97" s="20">
        <f t="shared" si="304"/>
      </c>
      <c r="GJ97" s="20"/>
      <c r="GK97" s="20">
        <f t="shared" si="305"/>
      </c>
    </row>
    <row r="98" spans="1:193" s="29" customFormat="1" ht="15.75" customHeight="1" hidden="1" thickBot="1" thickTop="1">
      <c r="A98" s="144"/>
      <c r="B98" s="150">
        <f t="shared" si="306"/>
        <v>173</v>
      </c>
      <c r="C98" s="26">
        <f t="shared" si="222"/>
        <v>20841231</v>
      </c>
      <c r="D98" s="26" t="str">
        <f t="shared" si="223"/>
        <v>2084</v>
      </c>
      <c r="E98" s="26" t="str">
        <f t="shared" si="224"/>
        <v>12</v>
      </c>
      <c r="F98" s="26" t="str">
        <f t="shared" si="225"/>
        <v>31</v>
      </c>
      <c r="G98" s="26" t="str">
        <f t="shared" si="226"/>
        <v>2084/12/31</v>
      </c>
      <c r="H98" s="117">
        <f t="shared" si="188"/>
        <v>91</v>
      </c>
      <c r="I98" s="117">
        <f t="shared" si="227"/>
        <v>0</v>
      </c>
      <c r="J98" s="26">
        <f t="shared" si="173"/>
        <v>18</v>
      </c>
      <c r="K98" s="118">
        <f t="shared" si="189"/>
        <v>91</v>
      </c>
      <c r="L98" s="118">
        <f t="shared" si="190"/>
        <v>0</v>
      </c>
      <c r="M98" s="118">
        <f t="shared" si="191"/>
        <v>18</v>
      </c>
      <c r="N98" s="609" t="str">
        <f t="shared" si="228"/>
        <v>173.1.1~173.12.31</v>
      </c>
      <c r="O98" s="610"/>
      <c r="P98" s="610"/>
      <c r="Q98" s="611"/>
      <c r="R98" s="292" t="str">
        <f t="shared" si="307"/>
        <v>65</v>
      </c>
      <c r="S98" s="338">
        <f t="shared" si="229"/>
        <v>111</v>
      </c>
      <c r="T98" s="339">
        <f t="shared" si="230"/>
        <v>91</v>
      </c>
      <c r="U98" s="204">
        <f t="shared" si="231"/>
        <v>202</v>
      </c>
      <c r="V98" s="149"/>
      <c r="W98" s="613">
        <f t="shared" si="176"/>
      </c>
      <c r="X98" s="614"/>
      <c r="Y98" s="614"/>
      <c r="Z98" s="615"/>
      <c r="AA98" s="262">
        <f t="shared" si="232"/>
      </c>
      <c r="AB98" s="318">
        <f t="shared" si="233"/>
      </c>
      <c r="AC98" s="318">
        <f t="shared" si="234"/>
      </c>
      <c r="AD98" s="220">
        <f t="shared" si="235"/>
      </c>
      <c r="AE98" s="262">
        <f t="shared" si="236"/>
      </c>
      <c r="AF98" s="231">
        <f t="shared" si="237"/>
      </c>
      <c r="AG98" s="310">
        <f t="shared" si="238"/>
      </c>
      <c r="AH98" s="227">
        <f t="shared" si="239"/>
      </c>
      <c r="AI98" s="320">
        <f t="shared" si="240"/>
      </c>
      <c r="AJ98" s="320">
        <f t="shared" si="241"/>
      </c>
      <c r="AK98" s="320">
        <f t="shared" si="242"/>
      </c>
      <c r="AL98" s="320">
        <f t="shared" si="243"/>
      </c>
      <c r="AM98" s="282">
        <f t="shared" si="244"/>
      </c>
      <c r="AN98" s="103"/>
      <c r="AO98" s="119">
        <f t="shared" si="192"/>
        <v>0</v>
      </c>
      <c r="AP98" s="119">
        <f t="shared" si="245"/>
        <v>1</v>
      </c>
      <c r="AQ98" s="119">
        <f t="shared" si="246"/>
        <v>1</v>
      </c>
      <c r="AR98" s="119">
        <f>IF(OR(AO98+AP98+AQ98+GG98&gt;0,SUM($AO$30:AQ97)+GG97&gt;0),1,0)</f>
        <v>1</v>
      </c>
      <c r="AS98" s="119">
        <f t="shared" si="193"/>
      </c>
      <c r="AT98" s="119" t="str">
        <f t="shared" si="247"/>
        <v>符合「年齡滿65歲、年資滿15年」之屆齡退休擇領月退休金條件</v>
      </c>
      <c r="AU98" s="119">
        <f t="shared" si="248"/>
      </c>
      <c r="AV98" s="380" t="str">
        <f t="shared" si="249"/>
        <v>符合「年齡滿65歲、年資滿15年」之屆齡退休擇領月退休金條件</v>
      </c>
      <c r="AW98" s="120">
        <f t="shared" si="194"/>
        <v>0</v>
      </c>
      <c r="AX98" s="120">
        <f t="shared" si="195"/>
        <v>1</v>
      </c>
      <c r="AY98" s="120" t="str">
        <f t="shared" si="174"/>
        <v>符合</v>
      </c>
      <c r="AZ98" s="120">
        <f t="shared" si="196"/>
        <v>111</v>
      </c>
      <c r="BA98" s="120">
        <f t="shared" si="197"/>
        <v>20841231</v>
      </c>
      <c r="BB98" s="120" t="str">
        <f t="shared" si="198"/>
        <v>173.1.1~173.12.31</v>
      </c>
      <c r="BC98" s="121">
        <f t="shared" si="250"/>
      </c>
      <c r="BD98" s="122">
        <f t="shared" si="251"/>
      </c>
      <c r="BE98" s="122"/>
      <c r="BF98" s="120"/>
      <c r="BG98" s="123">
        <f t="shared" si="252"/>
      </c>
      <c r="BH98" s="31">
        <f t="shared" si="253"/>
        <v>1</v>
      </c>
      <c r="BI98" s="7">
        <f t="shared" si="254"/>
        <v>1</v>
      </c>
      <c r="BJ98" s="7"/>
      <c r="BK98" s="124">
        <f t="shared" si="199"/>
        <v>0</v>
      </c>
      <c r="BL98" s="124">
        <f t="shared" si="255"/>
      </c>
      <c r="BM98" s="124">
        <f t="shared" si="256"/>
        <v>0</v>
      </c>
      <c r="BN98" s="124">
        <f t="shared" si="257"/>
      </c>
      <c r="BO98" s="124">
        <f t="shared" si="258"/>
        <v>0</v>
      </c>
      <c r="BP98" s="124">
        <f t="shared" si="200"/>
      </c>
      <c r="BQ98" s="33"/>
      <c r="BR98" s="33"/>
      <c r="BS98" s="33"/>
      <c r="BT98" s="33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4"/>
      <c r="CH98" s="34"/>
      <c r="CI98" s="34"/>
      <c r="CJ98" s="34"/>
      <c r="CK98" s="183">
        <f t="shared" si="201"/>
        <v>13</v>
      </c>
      <c r="CL98" s="7">
        <f t="shared" si="202"/>
        <v>12</v>
      </c>
      <c r="CM98" s="20">
        <f t="shared" si="203"/>
        <v>173</v>
      </c>
      <c r="CN98" s="382">
        <f t="shared" si="259"/>
        <v>67558</v>
      </c>
      <c r="CO98" s="185">
        <f t="shared" si="260"/>
        <v>12</v>
      </c>
      <c r="CP98" s="2">
        <f t="shared" si="261"/>
        <v>17</v>
      </c>
      <c r="CQ98" s="382">
        <f t="shared" si="262"/>
        <v>67554</v>
      </c>
      <c r="CR98" s="185">
        <f t="shared" si="308"/>
        <v>12</v>
      </c>
      <c r="CS98" s="2">
        <f t="shared" si="309"/>
        <v>13</v>
      </c>
      <c r="CT98" s="2" t="str">
        <f t="shared" si="263"/>
        <v>初任</v>
      </c>
      <c r="CU98" s="382">
        <f t="shared" si="264"/>
        <v>67554</v>
      </c>
      <c r="CV98" s="2">
        <f t="shared" si="265"/>
        <v>12</v>
      </c>
      <c r="CW98" s="2" t="str">
        <f t="shared" si="266"/>
        <v>生日</v>
      </c>
      <c r="CX98" s="382">
        <f t="shared" si="267"/>
        <v>67558</v>
      </c>
      <c r="CY98" s="2">
        <f t="shared" si="268"/>
        <v>12</v>
      </c>
      <c r="CZ98" s="2">
        <f t="shared" si="204"/>
        <v>0</v>
      </c>
      <c r="DA98" s="2">
        <f t="shared" si="269"/>
      </c>
      <c r="DB98" s="2">
        <f t="shared" si="205"/>
      </c>
      <c r="DC98" s="2">
        <f t="shared" si="270"/>
      </c>
      <c r="DD98" s="2">
        <f t="shared" si="271"/>
      </c>
      <c r="DE98" s="2">
        <f t="shared" si="272"/>
      </c>
      <c r="DF98" s="2">
        <f t="shared" si="206"/>
      </c>
      <c r="DG98" s="129">
        <f t="shared" si="207"/>
      </c>
      <c r="DH98" s="2">
        <f t="shared" si="208"/>
      </c>
      <c r="DI98" s="2">
        <f t="shared" si="273"/>
      </c>
      <c r="DJ98" s="129">
        <f t="shared" si="274"/>
      </c>
      <c r="DK98" s="2">
        <f t="shared" si="209"/>
      </c>
      <c r="DL98" s="2">
        <f t="shared" si="275"/>
      </c>
      <c r="DM98" s="129">
        <f t="shared" si="276"/>
      </c>
      <c r="DN98" s="2">
        <f t="shared" si="210"/>
      </c>
      <c r="DO98" s="2">
        <f t="shared" si="211"/>
      </c>
      <c r="DP98" s="129">
        <f t="shared" si="277"/>
      </c>
      <c r="DQ98" s="2">
        <f t="shared" si="212"/>
      </c>
      <c r="DR98" s="2">
        <f t="shared" si="213"/>
      </c>
      <c r="DS98" s="129">
        <f t="shared" si="278"/>
      </c>
      <c r="DT98" s="2">
        <f t="shared" si="214"/>
      </c>
      <c r="DU98" s="2">
        <f t="shared" si="215"/>
      </c>
      <c r="DV98" s="129">
        <f t="shared" si="279"/>
      </c>
      <c r="DW98" s="2">
        <f t="shared" si="280"/>
      </c>
      <c r="DX98" s="2">
        <f t="shared" si="281"/>
      </c>
      <c r="DY98" s="129">
        <f t="shared" si="282"/>
      </c>
      <c r="DZ98" s="129"/>
      <c r="EA98" s="21">
        <f t="shared" si="283"/>
      </c>
      <c r="EB98" s="382">
        <f t="shared" si="284"/>
        <v>401769</v>
      </c>
      <c r="EC98" s="382">
        <f t="shared" si="285"/>
        <v>401769</v>
      </c>
      <c r="ED98" s="2">
        <f t="shared" si="286"/>
      </c>
      <c r="EE98" s="382">
        <f t="shared" si="287"/>
        <v>401769</v>
      </c>
      <c r="EF98" s="382">
        <f t="shared" si="288"/>
      </c>
      <c r="EG98" s="382">
        <f t="shared" si="289"/>
      </c>
      <c r="EH98" s="382"/>
      <c r="EI98" s="382">
        <f t="shared" si="290"/>
      </c>
      <c r="EJ98" s="208">
        <f t="shared" si="291"/>
        <v>401769</v>
      </c>
      <c r="EK98" s="2">
        <f t="shared" si="292"/>
      </c>
      <c r="EL98" s="2">
        <f t="shared" si="216"/>
      </c>
      <c r="EM98" s="34"/>
      <c r="EN98" s="7">
        <f t="shared" si="217"/>
        <v>1</v>
      </c>
      <c r="EO98" s="124">
        <f t="shared" si="218"/>
        <v>0</v>
      </c>
      <c r="EP98" s="214" t="str">
        <f t="shared" si="219"/>
        <v>●</v>
      </c>
      <c r="EQ98" s="213" t="str">
        <f t="shared" si="220"/>
        <v>●</v>
      </c>
      <c r="ER98" s="213" t="e">
        <f t="shared" si="221"/>
        <v>#VALUE!</v>
      </c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2"/>
      <c r="FD98" s="20"/>
      <c r="FE98" s="20">
        <f t="shared" si="293"/>
        <v>173</v>
      </c>
      <c r="FF98" s="2">
        <f t="shared" si="294"/>
        <v>1</v>
      </c>
      <c r="FG98" s="2">
        <f t="shared" si="295"/>
        <v>1</v>
      </c>
      <c r="FH98" s="2">
        <f t="shared" si="296"/>
        <v>1</v>
      </c>
      <c r="FI98" s="2">
        <f t="shared" si="297"/>
        <v>1</v>
      </c>
      <c r="FJ98" s="20"/>
      <c r="FK98" s="326">
        <f t="shared" si="298"/>
        <v>0</v>
      </c>
      <c r="FL98" s="326">
        <f t="shared" si="299"/>
        <v>0</v>
      </c>
      <c r="FM98" s="326">
        <f t="shared" si="300"/>
        <v>0</v>
      </c>
      <c r="FN98" s="326">
        <f t="shared" si="301"/>
        <v>0</v>
      </c>
      <c r="FP98" s="326"/>
      <c r="FQ98" s="326"/>
      <c r="FR98" s="326"/>
      <c r="FS98" s="326"/>
      <c r="GF98" s="2">
        <v>65</v>
      </c>
      <c r="GG98" s="2">
        <f t="shared" si="302"/>
        <v>1</v>
      </c>
      <c r="GH98" s="2">
        <f t="shared" si="303"/>
      </c>
      <c r="GI98" s="20">
        <f t="shared" si="304"/>
      </c>
      <c r="GJ98" s="20"/>
      <c r="GK98" s="20">
        <f t="shared" si="305"/>
      </c>
    </row>
    <row r="99" spans="1:193" s="29" customFormat="1" ht="15.75" customHeight="1" hidden="1" thickBot="1" thickTop="1">
      <c r="A99" s="144"/>
      <c r="B99" s="150">
        <f t="shared" si="306"/>
        <v>174</v>
      </c>
      <c r="C99" s="26">
        <f t="shared" si="222"/>
        <v>20851231</v>
      </c>
      <c r="D99" s="26" t="str">
        <f t="shared" si="223"/>
        <v>2085</v>
      </c>
      <c r="E99" s="26" t="str">
        <f t="shared" si="224"/>
        <v>12</v>
      </c>
      <c r="F99" s="26" t="str">
        <f t="shared" si="225"/>
        <v>31</v>
      </c>
      <c r="G99" s="26" t="str">
        <f t="shared" si="226"/>
        <v>2085/12/31</v>
      </c>
      <c r="H99" s="117">
        <f t="shared" si="188"/>
        <v>92</v>
      </c>
      <c r="I99" s="117">
        <f t="shared" si="227"/>
        <v>0</v>
      </c>
      <c r="J99" s="26">
        <f aca="true" t="shared" si="310" ref="J99:J113">IF(BQ91=1,"*",IF(G99=DATE(YEAR(G99),MONTH(G99)+1,1)-1,IF($Z$8=DATE(YEAR($Z$8),MONTH($Z$8)+1,1)-1,0,DAY(DATE(YEAR($Z$8),MONTH($Z$8)+1,1)-1)-DAY($Z$8)),IF(DAY(G99)&gt;=DAY($Z$8),DAY(G99)-DAY($Z$8),DATE(YEAR($Z$8),MONTH($Z$8)+1,1)-1-$Z$8+DAY(G99))))</f>
        <v>18</v>
      </c>
      <c r="K99" s="118">
        <f t="shared" si="189"/>
        <v>92</v>
      </c>
      <c r="L99" s="118">
        <f t="shared" si="190"/>
        <v>0</v>
      </c>
      <c r="M99" s="118">
        <f t="shared" si="191"/>
        <v>18</v>
      </c>
      <c r="N99" s="609" t="str">
        <f t="shared" si="228"/>
        <v>174.1.1~174.12.31</v>
      </c>
      <c r="O99" s="610"/>
      <c r="P99" s="610"/>
      <c r="Q99" s="611"/>
      <c r="R99" s="292" t="str">
        <f t="shared" si="307"/>
        <v>65</v>
      </c>
      <c r="S99" s="338">
        <f t="shared" si="229"/>
        <v>112</v>
      </c>
      <c r="T99" s="339">
        <f t="shared" si="230"/>
        <v>92</v>
      </c>
      <c r="U99" s="204">
        <f t="shared" si="231"/>
        <v>204</v>
      </c>
      <c r="V99" s="149"/>
      <c r="W99" s="613">
        <f t="shared" si="176"/>
      </c>
      <c r="X99" s="614"/>
      <c r="Y99" s="614"/>
      <c r="Z99" s="615"/>
      <c r="AA99" s="262">
        <f t="shared" si="232"/>
      </c>
      <c r="AB99" s="318">
        <f t="shared" si="233"/>
      </c>
      <c r="AC99" s="318">
        <f t="shared" si="234"/>
      </c>
      <c r="AD99" s="220">
        <f t="shared" si="235"/>
      </c>
      <c r="AE99" s="262">
        <f t="shared" si="236"/>
      </c>
      <c r="AF99" s="231">
        <f t="shared" si="237"/>
      </c>
      <c r="AG99" s="310">
        <f t="shared" si="238"/>
      </c>
      <c r="AH99" s="227">
        <f t="shared" si="239"/>
      </c>
      <c r="AI99" s="320">
        <f t="shared" si="240"/>
      </c>
      <c r="AJ99" s="320">
        <f t="shared" si="241"/>
      </c>
      <c r="AK99" s="320">
        <f t="shared" si="242"/>
      </c>
      <c r="AL99" s="320">
        <f t="shared" si="243"/>
      </c>
      <c r="AM99" s="282">
        <f t="shared" si="244"/>
      </c>
      <c r="AN99" s="103"/>
      <c r="AO99" s="119">
        <f t="shared" si="192"/>
        <v>0</v>
      </c>
      <c r="AP99" s="119">
        <f t="shared" si="245"/>
        <v>1</v>
      </c>
      <c r="AQ99" s="119">
        <f t="shared" si="246"/>
        <v>1</v>
      </c>
      <c r="AR99" s="119">
        <f>IF(OR(AO99+AP99+AQ99+GG99&gt;0,SUM($AO$30:AQ98)+GG98&gt;0),1,0)</f>
        <v>1</v>
      </c>
      <c r="AS99" s="119">
        <f t="shared" si="193"/>
      </c>
      <c r="AT99" s="119" t="str">
        <f t="shared" si="247"/>
        <v>符合「年齡滿65歲、年資滿15年」之屆齡退休擇領月退休金條件</v>
      </c>
      <c r="AU99" s="119">
        <f t="shared" si="248"/>
      </c>
      <c r="AV99" s="380" t="str">
        <f t="shared" si="249"/>
        <v>符合「年齡滿65歲、年資滿15年」之屆齡退休擇領月退休金條件</v>
      </c>
      <c r="AW99" s="120">
        <f t="shared" si="194"/>
        <v>0</v>
      </c>
      <c r="AX99" s="120">
        <f t="shared" si="195"/>
        <v>1</v>
      </c>
      <c r="AY99" s="120" t="str">
        <f t="shared" si="174"/>
        <v>符合</v>
      </c>
      <c r="AZ99" s="120">
        <f t="shared" si="196"/>
        <v>112</v>
      </c>
      <c r="BA99" s="120">
        <f t="shared" si="197"/>
        <v>20851231</v>
      </c>
      <c r="BB99" s="120" t="str">
        <f t="shared" si="198"/>
        <v>174.1.1~174.12.31</v>
      </c>
      <c r="BC99" s="121">
        <f t="shared" si="250"/>
      </c>
      <c r="BD99" s="122">
        <f t="shared" si="251"/>
      </c>
      <c r="BE99" s="122"/>
      <c r="BF99" s="120"/>
      <c r="BG99" s="123">
        <f t="shared" si="252"/>
      </c>
      <c r="BH99" s="31">
        <f t="shared" si="253"/>
        <v>1</v>
      </c>
      <c r="BI99" s="7">
        <f t="shared" si="254"/>
        <v>1</v>
      </c>
      <c r="BJ99" s="7"/>
      <c r="BK99" s="124">
        <f t="shared" si="199"/>
        <v>0</v>
      </c>
      <c r="BL99" s="124">
        <f t="shared" si="255"/>
      </c>
      <c r="BM99" s="124">
        <f t="shared" si="256"/>
        <v>0</v>
      </c>
      <c r="BN99" s="124">
        <f t="shared" si="257"/>
      </c>
      <c r="BO99" s="124">
        <f t="shared" si="258"/>
        <v>0</v>
      </c>
      <c r="BP99" s="124">
        <f t="shared" si="200"/>
      </c>
      <c r="BQ99" s="33"/>
      <c r="BR99" s="33"/>
      <c r="BS99" s="33"/>
      <c r="BT99" s="33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4"/>
      <c r="CH99" s="34"/>
      <c r="CI99" s="34"/>
      <c r="CJ99" s="34"/>
      <c r="CK99" s="183">
        <f t="shared" si="201"/>
        <v>13</v>
      </c>
      <c r="CL99" s="7">
        <f t="shared" si="202"/>
        <v>12</v>
      </c>
      <c r="CM99" s="20">
        <f t="shared" si="203"/>
        <v>174</v>
      </c>
      <c r="CN99" s="382">
        <f t="shared" si="259"/>
        <v>67923</v>
      </c>
      <c r="CO99" s="185">
        <f t="shared" si="260"/>
        <v>12</v>
      </c>
      <c r="CP99" s="2">
        <f t="shared" si="261"/>
        <v>17</v>
      </c>
      <c r="CQ99" s="382">
        <f t="shared" si="262"/>
        <v>67919</v>
      </c>
      <c r="CR99" s="185">
        <f t="shared" si="308"/>
        <v>12</v>
      </c>
      <c r="CS99" s="2">
        <f t="shared" si="309"/>
        <v>13</v>
      </c>
      <c r="CT99" s="2" t="str">
        <f t="shared" si="263"/>
        <v>初任</v>
      </c>
      <c r="CU99" s="382">
        <f t="shared" si="264"/>
        <v>67919</v>
      </c>
      <c r="CV99" s="2">
        <f t="shared" si="265"/>
        <v>12</v>
      </c>
      <c r="CW99" s="2" t="str">
        <f t="shared" si="266"/>
        <v>生日</v>
      </c>
      <c r="CX99" s="382">
        <f t="shared" si="267"/>
        <v>67923</v>
      </c>
      <c r="CY99" s="2">
        <f t="shared" si="268"/>
        <v>12</v>
      </c>
      <c r="CZ99" s="2">
        <f t="shared" si="204"/>
        <v>0</v>
      </c>
      <c r="DA99" s="2">
        <f t="shared" si="269"/>
      </c>
      <c r="DB99" s="2">
        <f t="shared" si="205"/>
      </c>
      <c r="DC99" s="2">
        <f t="shared" si="270"/>
      </c>
      <c r="DD99" s="2">
        <f t="shared" si="271"/>
      </c>
      <c r="DE99" s="2">
        <f t="shared" si="272"/>
      </c>
      <c r="DF99" s="2">
        <f t="shared" si="206"/>
      </c>
      <c r="DG99" s="129">
        <f t="shared" si="207"/>
      </c>
      <c r="DH99" s="2">
        <f t="shared" si="208"/>
      </c>
      <c r="DI99" s="2">
        <f t="shared" si="273"/>
      </c>
      <c r="DJ99" s="129">
        <f t="shared" si="274"/>
      </c>
      <c r="DK99" s="2">
        <f t="shared" si="209"/>
      </c>
      <c r="DL99" s="2">
        <f t="shared" si="275"/>
      </c>
      <c r="DM99" s="129">
        <f t="shared" si="276"/>
      </c>
      <c r="DN99" s="2">
        <f t="shared" si="210"/>
      </c>
      <c r="DO99" s="2">
        <f t="shared" si="211"/>
      </c>
      <c r="DP99" s="129">
        <f t="shared" si="277"/>
      </c>
      <c r="DQ99" s="2">
        <f t="shared" si="212"/>
      </c>
      <c r="DR99" s="2">
        <f t="shared" si="213"/>
      </c>
      <c r="DS99" s="129">
        <f t="shared" si="278"/>
      </c>
      <c r="DT99" s="2">
        <f t="shared" si="214"/>
      </c>
      <c r="DU99" s="2">
        <f t="shared" si="215"/>
      </c>
      <c r="DV99" s="129">
        <f t="shared" si="279"/>
      </c>
      <c r="DW99" s="2">
        <f t="shared" si="280"/>
      </c>
      <c r="DX99" s="2">
        <f t="shared" si="281"/>
      </c>
      <c r="DY99" s="129">
        <f t="shared" si="282"/>
      </c>
      <c r="DZ99" s="129"/>
      <c r="EA99" s="21">
        <f t="shared" si="283"/>
      </c>
      <c r="EB99" s="382">
        <f t="shared" si="284"/>
        <v>401769</v>
      </c>
      <c r="EC99" s="382">
        <f t="shared" si="285"/>
        <v>401769</v>
      </c>
      <c r="ED99" s="2">
        <f t="shared" si="286"/>
      </c>
      <c r="EE99" s="382">
        <f t="shared" si="287"/>
        <v>401769</v>
      </c>
      <c r="EF99" s="382">
        <f t="shared" si="288"/>
      </c>
      <c r="EG99" s="382">
        <f t="shared" si="289"/>
      </c>
      <c r="EH99" s="382"/>
      <c r="EI99" s="382">
        <f t="shared" si="290"/>
      </c>
      <c r="EJ99" s="208">
        <f t="shared" si="291"/>
        <v>401769</v>
      </c>
      <c r="EK99" s="2">
        <f t="shared" si="292"/>
      </c>
      <c r="EL99" s="2">
        <f t="shared" si="216"/>
      </c>
      <c r="EM99" s="34"/>
      <c r="EN99" s="7">
        <f t="shared" si="217"/>
        <v>1</v>
      </c>
      <c r="EO99" s="124">
        <f t="shared" si="218"/>
        <v>0</v>
      </c>
      <c r="EP99" s="214" t="str">
        <f t="shared" si="219"/>
        <v>●</v>
      </c>
      <c r="EQ99" s="213" t="str">
        <f t="shared" si="220"/>
        <v>●</v>
      </c>
      <c r="ER99" s="213" t="e">
        <f t="shared" si="221"/>
        <v>#VALUE!</v>
      </c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2"/>
      <c r="FD99" s="20"/>
      <c r="FE99" s="20">
        <f t="shared" si="293"/>
        <v>174</v>
      </c>
      <c r="FF99" s="2">
        <f t="shared" si="294"/>
        <v>1</v>
      </c>
      <c r="FG99" s="2">
        <f t="shared" si="295"/>
        <v>1</v>
      </c>
      <c r="FH99" s="2">
        <f t="shared" si="296"/>
        <v>1</v>
      </c>
      <c r="FI99" s="2">
        <f t="shared" si="297"/>
        <v>1</v>
      </c>
      <c r="FJ99" s="20"/>
      <c r="FK99" s="326">
        <f t="shared" si="298"/>
        <v>0</v>
      </c>
      <c r="FL99" s="326">
        <f t="shared" si="299"/>
        <v>0</v>
      </c>
      <c r="FM99" s="326">
        <f t="shared" si="300"/>
        <v>0</v>
      </c>
      <c r="FN99" s="326">
        <f t="shared" si="301"/>
        <v>0</v>
      </c>
      <c r="FP99" s="326"/>
      <c r="FQ99" s="326"/>
      <c r="FR99" s="326"/>
      <c r="FS99" s="326"/>
      <c r="GF99" s="2">
        <v>65</v>
      </c>
      <c r="GG99" s="2">
        <f t="shared" si="302"/>
        <v>1</v>
      </c>
      <c r="GH99" s="2">
        <f t="shared" si="303"/>
      </c>
      <c r="GI99" s="20">
        <f t="shared" si="304"/>
      </c>
      <c r="GJ99" s="20"/>
      <c r="GK99" s="20">
        <f t="shared" si="305"/>
      </c>
    </row>
    <row r="100" spans="1:193" s="29" customFormat="1" ht="15.75" customHeight="1" hidden="1" thickBot="1" thickTop="1">
      <c r="A100" s="144"/>
      <c r="B100" s="150">
        <f t="shared" si="306"/>
        <v>175</v>
      </c>
      <c r="C100" s="26">
        <f t="shared" si="222"/>
        <v>20861231</v>
      </c>
      <c r="D100" s="26" t="str">
        <f t="shared" si="223"/>
        <v>2086</v>
      </c>
      <c r="E100" s="26" t="str">
        <f t="shared" si="224"/>
        <v>12</v>
      </c>
      <c r="F100" s="26" t="str">
        <f t="shared" si="225"/>
        <v>31</v>
      </c>
      <c r="G100" s="26" t="str">
        <f t="shared" si="226"/>
        <v>2086/12/31</v>
      </c>
      <c r="H100" s="117">
        <f t="shared" si="188"/>
        <v>93</v>
      </c>
      <c r="I100" s="117">
        <f t="shared" si="227"/>
        <v>0</v>
      </c>
      <c r="J100" s="26">
        <f t="shared" si="310"/>
        <v>18</v>
      </c>
      <c r="K100" s="118">
        <f t="shared" si="189"/>
        <v>93</v>
      </c>
      <c r="L100" s="118">
        <f t="shared" si="190"/>
        <v>0</v>
      </c>
      <c r="M100" s="118">
        <f t="shared" si="191"/>
        <v>18</v>
      </c>
      <c r="N100" s="609" t="str">
        <f t="shared" si="228"/>
        <v>175.1.1~175.12.31</v>
      </c>
      <c r="O100" s="610"/>
      <c r="P100" s="610"/>
      <c r="Q100" s="611"/>
      <c r="R100" s="292" t="str">
        <f t="shared" si="307"/>
        <v>65</v>
      </c>
      <c r="S100" s="338">
        <f t="shared" si="229"/>
        <v>113</v>
      </c>
      <c r="T100" s="339">
        <f t="shared" si="230"/>
        <v>93</v>
      </c>
      <c r="U100" s="204">
        <f t="shared" si="231"/>
        <v>206</v>
      </c>
      <c r="V100" s="149"/>
      <c r="W100" s="613">
        <f t="shared" si="176"/>
      </c>
      <c r="X100" s="614"/>
      <c r="Y100" s="614"/>
      <c r="Z100" s="615"/>
      <c r="AA100" s="262">
        <f t="shared" si="232"/>
      </c>
      <c r="AB100" s="318">
        <f t="shared" si="233"/>
      </c>
      <c r="AC100" s="318">
        <f t="shared" si="234"/>
      </c>
      <c r="AD100" s="220">
        <f t="shared" si="235"/>
      </c>
      <c r="AE100" s="262">
        <f t="shared" si="236"/>
      </c>
      <c r="AF100" s="231">
        <f t="shared" si="237"/>
      </c>
      <c r="AG100" s="310">
        <f t="shared" si="238"/>
      </c>
      <c r="AH100" s="227">
        <f t="shared" si="239"/>
      </c>
      <c r="AI100" s="320">
        <f t="shared" si="240"/>
      </c>
      <c r="AJ100" s="320">
        <f t="shared" si="241"/>
      </c>
      <c r="AK100" s="320">
        <f t="shared" si="242"/>
      </c>
      <c r="AL100" s="320">
        <f t="shared" si="243"/>
      </c>
      <c r="AM100" s="282">
        <f t="shared" si="244"/>
      </c>
      <c r="AN100" s="103"/>
      <c r="AO100" s="119">
        <f t="shared" si="192"/>
        <v>0</v>
      </c>
      <c r="AP100" s="119">
        <f t="shared" si="245"/>
        <v>1</v>
      </c>
      <c r="AQ100" s="119">
        <f t="shared" si="246"/>
        <v>1</v>
      </c>
      <c r="AR100" s="119">
        <f>IF(OR(AO100+AP100+AQ100+GG100&gt;0,SUM($AO$30:AQ99)+GG99&gt;0),1,0)</f>
        <v>1</v>
      </c>
      <c r="AS100" s="119">
        <f t="shared" si="193"/>
      </c>
      <c r="AT100" s="119" t="str">
        <f t="shared" si="247"/>
        <v>符合「年齡滿65歲、年資滿15年」之屆齡退休擇領月退休金條件</v>
      </c>
      <c r="AU100" s="119">
        <f t="shared" si="248"/>
      </c>
      <c r="AV100" s="380" t="str">
        <f t="shared" si="249"/>
        <v>符合「年齡滿65歲、年資滿15年」之屆齡退休擇領月退休金條件</v>
      </c>
      <c r="AW100" s="120">
        <f t="shared" si="194"/>
        <v>0</v>
      </c>
      <c r="AX100" s="120">
        <f t="shared" si="195"/>
        <v>1</v>
      </c>
      <c r="AY100" s="120" t="str">
        <f t="shared" si="174"/>
        <v>符合</v>
      </c>
      <c r="AZ100" s="120">
        <f t="shared" si="196"/>
        <v>113</v>
      </c>
      <c r="BA100" s="120">
        <f t="shared" si="197"/>
        <v>20861231</v>
      </c>
      <c r="BB100" s="120" t="str">
        <f t="shared" si="198"/>
        <v>175.1.1~175.12.31</v>
      </c>
      <c r="BC100" s="121">
        <f t="shared" si="250"/>
      </c>
      <c r="BD100" s="122">
        <f t="shared" si="251"/>
      </c>
      <c r="BE100" s="122"/>
      <c r="BF100" s="120"/>
      <c r="BG100" s="123">
        <f t="shared" si="252"/>
      </c>
      <c r="BH100" s="31">
        <f t="shared" si="253"/>
        <v>1</v>
      </c>
      <c r="BI100" s="7">
        <f t="shared" si="254"/>
        <v>1</v>
      </c>
      <c r="BJ100" s="7"/>
      <c r="BK100" s="124">
        <f t="shared" si="199"/>
        <v>0</v>
      </c>
      <c r="BL100" s="124">
        <f t="shared" si="255"/>
      </c>
      <c r="BM100" s="124">
        <f t="shared" si="256"/>
        <v>0</v>
      </c>
      <c r="BN100" s="124">
        <f t="shared" si="257"/>
      </c>
      <c r="BO100" s="124">
        <f t="shared" si="258"/>
        <v>0</v>
      </c>
      <c r="BP100" s="124">
        <f t="shared" si="200"/>
      </c>
      <c r="BQ100" s="33"/>
      <c r="BR100" s="33"/>
      <c r="BS100" s="33"/>
      <c r="BT100" s="33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4"/>
      <c r="CH100" s="34"/>
      <c r="CI100" s="34"/>
      <c r="CJ100" s="34"/>
      <c r="CK100" s="183">
        <f t="shared" si="201"/>
        <v>13</v>
      </c>
      <c r="CL100" s="7">
        <f t="shared" si="202"/>
        <v>12</v>
      </c>
      <c r="CM100" s="20">
        <f t="shared" si="203"/>
        <v>175</v>
      </c>
      <c r="CN100" s="382">
        <f t="shared" si="259"/>
        <v>68288</v>
      </c>
      <c r="CO100" s="185">
        <f t="shared" si="260"/>
        <v>12</v>
      </c>
      <c r="CP100" s="2">
        <f t="shared" si="261"/>
        <v>17</v>
      </c>
      <c r="CQ100" s="382">
        <f t="shared" si="262"/>
        <v>68284</v>
      </c>
      <c r="CR100" s="185">
        <f t="shared" si="308"/>
        <v>12</v>
      </c>
      <c r="CS100" s="2">
        <f t="shared" si="309"/>
        <v>13</v>
      </c>
      <c r="CT100" s="2" t="str">
        <f t="shared" si="263"/>
        <v>初任</v>
      </c>
      <c r="CU100" s="382">
        <f t="shared" si="264"/>
        <v>68284</v>
      </c>
      <c r="CV100" s="2">
        <f t="shared" si="265"/>
        <v>12</v>
      </c>
      <c r="CW100" s="2" t="str">
        <f t="shared" si="266"/>
        <v>生日</v>
      </c>
      <c r="CX100" s="382">
        <f t="shared" si="267"/>
        <v>68288</v>
      </c>
      <c r="CY100" s="2">
        <f t="shared" si="268"/>
        <v>12</v>
      </c>
      <c r="CZ100" s="2">
        <f t="shared" si="204"/>
        <v>0</v>
      </c>
      <c r="DA100" s="2">
        <f t="shared" si="269"/>
      </c>
      <c r="DB100" s="2">
        <f t="shared" si="205"/>
      </c>
      <c r="DC100" s="2">
        <f t="shared" si="270"/>
      </c>
      <c r="DD100" s="2">
        <f t="shared" si="271"/>
      </c>
      <c r="DE100" s="2">
        <f t="shared" si="272"/>
      </c>
      <c r="DF100" s="2">
        <f t="shared" si="206"/>
      </c>
      <c r="DG100" s="129">
        <f t="shared" si="207"/>
      </c>
      <c r="DH100" s="2">
        <f t="shared" si="208"/>
      </c>
      <c r="DI100" s="2">
        <f t="shared" si="273"/>
      </c>
      <c r="DJ100" s="129">
        <f t="shared" si="274"/>
      </c>
      <c r="DK100" s="2">
        <f t="shared" si="209"/>
      </c>
      <c r="DL100" s="2">
        <f t="shared" si="275"/>
      </c>
      <c r="DM100" s="129">
        <f t="shared" si="276"/>
      </c>
      <c r="DN100" s="2">
        <f t="shared" si="210"/>
      </c>
      <c r="DO100" s="2">
        <f t="shared" si="211"/>
      </c>
      <c r="DP100" s="129">
        <f t="shared" si="277"/>
      </c>
      <c r="DQ100" s="2">
        <f t="shared" si="212"/>
      </c>
      <c r="DR100" s="2">
        <f t="shared" si="213"/>
      </c>
      <c r="DS100" s="129">
        <f t="shared" si="278"/>
      </c>
      <c r="DT100" s="2">
        <f t="shared" si="214"/>
      </c>
      <c r="DU100" s="2">
        <f t="shared" si="215"/>
      </c>
      <c r="DV100" s="129">
        <f t="shared" si="279"/>
      </c>
      <c r="DW100" s="2">
        <f t="shared" si="280"/>
      </c>
      <c r="DX100" s="2">
        <f t="shared" si="281"/>
      </c>
      <c r="DY100" s="129">
        <f t="shared" si="282"/>
      </c>
      <c r="DZ100" s="129"/>
      <c r="EA100" s="21">
        <f t="shared" si="283"/>
      </c>
      <c r="EB100" s="382">
        <f t="shared" si="284"/>
        <v>401769</v>
      </c>
      <c r="EC100" s="382">
        <f t="shared" si="285"/>
        <v>401769</v>
      </c>
      <c r="ED100" s="2">
        <f t="shared" si="286"/>
      </c>
      <c r="EE100" s="382">
        <f t="shared" si="287"/>
        <v>401769</v>
      </c>
      <c r="EF100" s="382">
        <f t="shared" si="288"/>
      </c>
      <c r="EG100" s="382">
        <f t="shared" si="289"/>
      </c>
      <c r="EH100" s="382"/>
      <c r="EI100" s="382">
        <f t="shared" si="290"/>
      </c>
      <c r="EJ100" s="208">
        <f t="shared" si="291"/>
        <v>401769</v>
      </c>
      <c r="EK100" s="2">
        <f t="shared" si="292"/>
      </c>
      <c r="EL100" s="2">
        <f t="shared" si="216"/>
      </c>
      <c r="EM100" s="34"/>
      <c r="EN100" s="7">
        <f t="shared" si="217"/>
        <v>1</v>
      </c>
      <c r="EO100" s="124">
        <f t="shared" si="218"/>
        <v>0</v>
      </c>
      <c r="EP100" s="214" t="str">
        <f t="shared" si="219"/>
        <v>●</v>
      </c>
      <c r="EQ100" s="213" t="str">
        <f t="shared" si="220"/>
        <v>●</v>
      </c>
      <c r="ER100" s="213" t="e">
        <f t="shared" si="221"/>
        <v>#VALUE!</v>
      </c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2"/>
      <c r="FD100" s="20"/>
      <c r="FE100" s="20">
        <f t="shared" si="293"/>
        <v>175</v>
      </c>
      <c r="FF100" s="2">
        <f t="shared" si="294"/>
        <v>1</v>
      </c>
      <c r="FG100" s="2">
        <f t="shared" si="295"/>
        <v>1</v>
      </c>
      <c r="FH100" s="2">
        <f t="shared" si="296"/>
        <v>1</v>
      </c>
      <c r="FI100" s="2">
        <f t="shared" si="297"/>
        <v>1</v>
      </c>
      <c r="FJ100" s="20"/>
      <c r="FK100" s="326">
        <f t="shared" si="298"/>
        <v>0</v>
      </c>
      <c r="FL100" s="326">
        <f t="shared" si="299"/>
        <v>0</v>
      </c>
      <c r="FM100" s="326">
        <f t="shared" si="300"/>
        <v>0</v>
      </c>
      <c r="FN100" s="326">
        <f t="shared" si="301"/>
        <v>0</v>
      </c>
      <c r="FP100" s="326"/>
      <c r="FQ100" s="326"/>
      <c r="FR100" s="326"/>
      <c r="FS100" s="326"/>
      <c r="GF100" s="2">
        <v>65</v>
      </c>
      <c r="GG100" s="2">
        <f t="shared" si="302"/>
        <v>1</v>
      </c>
      <c r="GH100" s="2">
        <f t="shared" si="303"/>
      </c>
      <c r="GI100" s="20">
        <f t="shared" si="304"/>
      </c>
      <c r="GJ100" s="20"/>
      <c r="GK100" s="20">
        <f t="shared" si="305"/>
      </c>
    </row>
    <row r="101" spans="1:193" s="29" customFormat="1" ht="15.75" customHeight="1" hidden="1" thickBot="1" thickTop="1">
      <c r="A101" s="144"/>
      <c r="B101" s="150">
        <f t="shared" si="306"/>
        <v>176</v>
      </c>
      <c r="C101" s="26">
        <f t="shared" si="222"/>
        <v>20871231</v>
      </c>
      <c r="D101" s="26" t="str">
        <f t="shared" si="223"/>
        <v>2087</v>
      </c>
      <c r="E101" s="26" t="str">
        <f t="shared" si="224"/>
        <v>12</v>
      </c>
      <c r="F101" s="26" t="str">
        <f t="shared" si="225"/>
        <v>31</v>
      </c>
      <c r="G101" s="26" t="str">
        <f t="shared" si="226"/>
        <v>2087/12/31</v>
      </c>
      <c r="H101" s="117">
        <f t="shared" si="188"/>
        <v>94</v>
      </c>
      <c r="I101" s="117">
        <f t="shared" si="227"/>
        <v>0</v>
      </c>
      <c r="J101" s="26">
        <f t="shared" si="310"/>
        <v>18</v>
      </c>
      <c r="K101" s="118">
        <f t="shared" si="189"/>
        <v>94</v>
      </c>
      <c r="L101" s="118">
        <f t="shared" si="190"/>
        <v>0</v>
      </c>
      <c r="M101" s="118">
        <f t="shared" si="191"/>
        <v>18</v>
      </c>
      <c r="N101" s="609" t="str">
        <f t="shared" si="228"/>
        <v>176.1.1~176.12.31</v>
      </c>
      <c r="O101" s="610"/>
      <c r="P101" s="610"/>
      <c r="Q101" s="611"/>
      <c r="R101" s="292" t="str">
        <f t="shared" si="307"/>
        <v>65</v>
      </c>
      <c r="S101" s="338">
        <f t="shared" si="229"/>
        <v>114</v>
      </c>
      <c r="T101" s="339">
        <f t="shared" si="230"/>
        <v>94</v>
      </c>
      <c r="U101" s="204">
        <f t="shared" si="231"/>
        <v>208</v>
      </c>
      <c r="V101" s="149"/>
      <c r="W101" s="613">
        <f t="shared" si="176"/>
      </c>
      <c r="X101" s="614"/>
      <c r="Y101" s="614"/>
      <c r="Z101" s="615"/>
      <c r="AA101" s="262">
        <f t="shared" si="232"/>
      </c>
      <c r="AB101" s="318">
        <f t="shared" si="233"/>
      </c>
      <c r="AC101" s="318">
        <f t="shared" si="234"/>
      </c>
      <c r="AD101" s="220">
        <f t="shared" si="235"/>
      </c>
      <c r="AE101" s="262">
        <f t="shared" si="236"/>
      </c>
      <c r="AF101" s="231">
        <f t="shared" si="237"/>
      </c>
      <c r="AG101" s="310">
        <f t="shared" si="238"/>
      </c>
      <c r="AH101" s="227">
        <f t="shared" si="239"/>
      </c>
      <c r="AI101" s="320">
        <f t="shared" si="240"/>
      </c>
      <c r="AJ101" s="320">
        <f t="shared" si="241"/>
      </c>
      <c r="AK101" s="320">
        <f t="shared" si="242"/>
      </c>
      <c r="AL101" s="320">
        <f t="shared" si="243"/>
      </c>
      <c r="AM101" s="282">
        <f t="shared" si="244"/>
      </c>
      <c r="AN101" s="103"/>
      <c r="AO101" s="119">
        <f t="shared" si="192"/>
        <v>0</v>
      </c>
      <c r="AP101" s="119">
        <f t="shared" si="245"/>
        <v>1</v>
      </c>
      <c r="AQ101" s="119">
        <f t="shared" si="246"/>
        <v>1</v>
      </c>
      <c r="AR101" s="119">
        <f>IF(OR(AO101+AP101+AQ101+GG101&gt;0,SUM($AO$30:AQ100)+GG100&gt;0),1,0)</f>
        <v>1</v>
      </c>
      <c r="AS101" s="119">
        <f t="shared" si="193"/>
      </c>
      <c r="AT101" s="119" t="str">
        <f t="shared" si="247"/>
        <v>符合「年齡滿65歲、年資滿15年」之屆齡退休擇領月退休金條件</v>
      </c>
      <c r="AU101" s="119">
        <f t="shared" si="248"/>
      </c>
      <c r="AV101" s="380" t="str">
        <f t="shared" si="249"/>
        <v>符合「年齡滿65歲、年資滿15年」之屆齡退休擇領月退休金條件</v>
      </c>
      <c r="AW101" s="120">
        <f t="shared" si="194"/>
        <v>0</v>
      </c>
      <c r="AX101" s="120">
        <f t="shared" si="195"/>
        <v>1</v>
      </c>
      <c r="AY101" s="120" t="str">
        <f t="shared" si="174"/>
        <v>符合</v>
      </c>
      <c r="AZ101" s="120">
        <f t="shared" si="196"/>
        <v>114</v>
      </c>
      <c r="BA101" s="120">
        <f t="shared" si="197"/>
        <v>20871231</v>
      </c>
      <c r="BB101" s="120" t="str">
        <f t="shared" si="198"/>
        <v>176.1.1~176.12.31</v>
      </c>
      <c r="BC101" s="121">
        <f t="shared" si="250"/>
      </c>
      <c r="BD101" s="122">
        <f t="shared" si="251"/>
      </c>
      <c r="BE101" s="122"/>
      <c r="BF101" s="120"/>
      <c r="BG101" s="123">
        <f t="shared" si="252"/>
      </c>
      <c r="BH101" s="31">
        <f t="shared" si="253"/>
        <v>1</v>
      </c>
      <c r="BI101" s="7">
        <f t="shared" si="254"/>
        <v>1</v>
      </c>
      <c r="BJ101" s="7"/>
      <c r="BK101" s="124">
        <f t="shared" si="199"/>
        <v>0</v>
      </c>
      <c r="BL101" s="124">
        <f t="shared" si="255"/>
      </c>
      <c r="BM101" s="124">
        <f t="shared" si="256"/>
        <v>0</v>
      </c>
      <c r="BN101" s="124">
        <f t="shared" si="257"/>
      </c>
      <c r="BO101" s="124">
        <f t="shared" si="258"/>
        <v>0</v>
      </c>
      <c r="BP101" s="124">
        <f t="shared" si="200"/>
      </c>
      <c r="BQ101" s="33"/>
      <c r="BR101" s="33"/>
      <c r="BS101" s="33"/>
      <c r="BT101" s="33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4"/>
      <c r="CH101" s="34"/>
      <c r="CI101" s="34"/>
      <c r="CJ101" s="34"/>
      <c r="CK101" s="183">
        <f t="shared" si="201"/>
        <v>13</v>
      </c>
      <c r="CL101" s="7">
        <f t="shared" si="202"/>
        <v>12</v>
      </c>
      <c r="CM101" s="20">
        <f t="shared" si="203"/>
        <v>176</v>
      </c>
      <c r="CN101" s="382">
        <f t="shared" si="259"/>
        <v>68653</v>
      </c>
      <c r="CO101" s="185">
        <f t="shared" si="260"/>
        <v>12</v>
      </c>
      <c r="CP101" s="2">
        <f t="shared" si="261"/>
        <v>17</v>
      </c>
      <c r="CQ101" s="382">
        <f t="shared" si="262"/>
        <v>68649</v>
      </c>
      <c r="CR101" s="185">
        <f t="shared" si="308"/>
        <v>12</v>
      </c>
      <c r="CS101" s="2">
        <f t="shared" si="309"/>
        <v>13</v>
      </c>
      <c r="CT101" s="2" t="str">
        <f t="shared" si="263"/>
        <v>初任</v>
      </c>
      <c r="CU101" s="382">
        <f t="shared" si="264"/>
        <v>68649</v>
      </c>
      <c r="CV101" s="2">
        <f t="shared" si="265"/>
        <v>12</v>
      </c>
      <c r="CW101" s="2" t="str">
        <f t="shared" si="266"/>
        <v>生日</v>
      </c>
      <c r="CX101" s="382">
        <f t="shared" si="267"/>
        <v>68653</v>
      </c>
      <c r="CY101" s="2">
        <f t="shared" si="268"/>
        <v>12</v>
      </c>
      <c r="CZ101" s="2">
        <f t="shared" si="204"/>
        <v>0</v>
      </c>
      <c r="DA101" s="2">
        <f t="shared" si="269"/>
      </c>
      <c r="DB101" s="2">
        <f t="shared" si="205"/>
      </c>
      <c r="DC101" s="2">
        <f t="shared" si="270"/>
      </c>
      <c r="DD101" s="2">
        <f t="shared" si="271"/>
      </c>
      <c r="DE101" s="2">
        <f t="shared" si="272"/>
      </c>
      <c r="DF101" s="2">
        <f t="shared" si="206"/>
      </c>
      <c r="DG101" s="129">
        <f t="shared" si="207"/>
      </c>
      <c r="DH101" s="2">
        <f t="shared" si="208"/>
      </c>
      <c r="DI101" s="2">
        <f t="shared" si="273"/>
      </c>
      <c r="DJ101" s="129">
        <f t="shared" si="274"/>
      </c>
      <c r="DK101" s="2">
        <f t="shared" si="209"/>
      </c>
      <c r="DL101" s="2">
        <f t="shared" si="275"/>
      </c>
      <c r="DM101" s="129">
        <f t="shared" si="276"/>
      </c>
      <c r="DN101" s="2">
        <f t="shared" si="210"/>
      </c>
      <c r="DO101" s="2">
        <f t="shared" si="211"/>
      </c>
      <c r="DP101" s="129">
        <f t="shared" si="277"/>
      </c>
      <c r="DQ101" s="2">
        <f t="shared" si="212"/>
      </c>
      <c r="DR101" s="2">
        <f t="shared" si="213"/>
      </c>
      <c r="DS101" s="129">
        <f t="shared" si="278"/>
      </c>
      <c r="DT101" s="2">
        <f t="shared" si="214"/>
      </c>
      <c r="DU101" s="2">
        <f t="shared" si="215"/>
      </c>
      <c r="DV101" s="129">
        <f t="shared" si="279"/>
      </c>
      <c r="DW101" s="2">
        <f t="shared" si="280"/>
      </c>
      <c r="DX101" s="2">
        <f t="shared" si="281"/>
      </c>
      <c r="DY101" s="129">
        <f t="shared" si="282"/>
      </c>
      <c r="DZ101" s="129"/>
      <c r="EA101" s="21">
        <f t="shared" si="283"/>
      </c>
      <c r="EB101" s="382">
        <f t="shared" si="284"/>
        <v>401769</v>
      </c>
      <c r="EC101" s="382">
        <f t="shared" si="285"/>
        <v>401769</v>
      </c>
      <c r="ED101" s="2">
        <f t="shared" si="286"/>
      </c>
      <c r="EE101" s="382">
        <f t="shared" si="287"/>
        <v>401769</v>
      </c>
      <c r="EF101" s="382">
        <f t="shared" si="288"/>
      </c>
      <c r="EG101" s="382">
        <f t="shared" si="289"/>
      </c>
      <c r="EH101" s="382"/>
      <c r="EI101" s="382">
        <f t="shared" si="290"/>
      </c>
      <c r="EJ101" s="208">
        <f t="shared" si="291"/>
        <v>401769</v>
      </c>
      <c r="EK101" s="2">
        <f t="shared" si="292"/>
      </c>
      <c r="EL101" s="2">
        <f t="shared" si="216"/>
      </c>
      <c r="EM101" s="34"/>
      <c r="EN101" s="7">
        <f t="shared" si="217"/>
        <v>1</v>
      </c>
      <c r="EO101" s="124">
        <f t="shared" si="218"/>
        <v>0</v>
      </c>
      <c r="EP101" s="214" t="str">
        <f t="shared" si="219"/>
        <v>●</v>
      </c>
      <c r="EQ101" s="213" t="str">
        <f t="shared" si="220"/>
        <v>●</v>
      </c>
      <c r="ER101" s="213" t="e">
        <f t="shared" si="221"/>
        <v>#VALUE!</v>
      </c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2"/>
      <c r="FD101" s="20"/>
      <c r="FE101" s="20">
        <f t="shared" si="293"/>
        <v>176</v>
      </c>
      <c r="FF101" s="2">
        <f t="shared" si="294"/>
        <v>1</v>
      </c>
      <c r="FG101" s="2">
        <f t="shared" si="295"/>
        <v>1</v>
      </c>
      <c r="FH101" s="2">
        <f t="shared" si="296"/>
        <v>1</v>
      </c>
      <c r="FI101" s="2">
        <f t="shared" si="297"/>
        <v>1</v>
      </c>
      <c r="FJ101" s="20"/>
      <c r="FK101" s="326">
        <f t="shared" si="298"/>
        <v>0</v>
      </c>
      <c r="FL101" s="326">
        <f t="shared" si="299"/>
        <v>0</v>
      </c>
      <c r="FM101" s="326">
        <f t="shared" si="300"/>
        <v>0</v>
      </c>
      <c r="FN101" s="326">
        <f t="shared" si="301"/>
        <v>0</v>
      </c>
      <c r="FP101" s="326"/>
      <c r="FQ101" s="326"/>
      <c r="FR101" s="326"/>
      <c r="FS101" s="326"/>
      <c r="GF101" s="2">
        <v>65</v>
      </c>
      <c r="GG101" s="2">
        <f t="shared" si="302"/>
        <v>1</v>
      </c>
      <c r="GH101" s="2">
        <f t="shared" si="303"/>
      </c>
      <c r="GI101" s="20">
        <f t="shared" si="304"/>
      </c>
      <c r="GJ101" s="20"/>
      <c r="GK101" s="20">
        <f t="shared" si="305"/>
      </c>
    </row>
    <row r="102" spans="1:193" s="29" customFormat="1" ht="15.75" customHeight="1" hidden="1" thickBot="1" thickTop="1">
      <c r="A102" s="144"/>
      <c r="B102" s="150">
        <f t="shared" si="306"/>
        <v>177</v>
      </c>
      <c r="C102" s="26">
        <f t="shared" si="222"/>
        <v>20881231</v>
      </c>
      <c r="D102" s="26" t="str">
        <f t="shared" si="223"/>
        <v>2088</v>
      </c>
      <c r="E102" s="26" t="str">
        <f t="shared" si="224"/>
        <v>12</v>
      </c>
      <c r="F102" s="26" t="str">
        <f t="shared" si="225"/>
        <v>31</v>
      </c>
      <c r="G102" s="26" t="str">
        <f t="shared" si="226"/>
        <v>2088/12/31</v>
      </c>
      <c r="H102" s="117">
        <f t="shared" si="188"/>
        <v>95</v>
      </c>
      <c r="I102" s="117">
        <f t="shared" si="227"/>
        <v>0</v>
      </c>
      <c r="J102" s="26">
        <f t="shared" si="310"/>
        <v>18</v>
      </c>
      <c r="K102" s="118">
        <f t="shared" si="189"/>
        <v>95</v>
      </c>
      <c r="L102" s="118">
        <f t="shared" si="190"/>
        <v>0</v>
      </c>
      <c r="M102" s="118">
        <f t="shared" si="191"/>
        <v>18</v>
      </c>
      <c r="N102" s="609" t="str">
        <f t="shared" si="228"/>
        <v>177.1.1~177.12.31</v>
      </c>
      <c r="O102" s="610"/>
      <c r="P102" s="610"/>
      <c r="Q102" s="611"/>
      <c r="R102" s="292" t="str">
        <f t="shared" si="307"/>
        <v>65</v>
      </c>
      <c r="S102" s="338">
        <f t="shared" si="229"/>
        <v>115</v>
      </c>
      <c r="T102" s="339">
        <f t="shared" si="230"/>
        <v>95</v>
      </c>
      <c r="U102" s="204">
        <f t="shared" si="231"/>
        <v>210</v>
      </c>
      <c r="V102" s="149"/>
      <c r="W102" s="613">
        <f t="shared" si="176"/>
      </c>
      <c r="X102" s="614"/>
      <c r="Y102" s="614"/>
      <c r="Z102" s="615"/>
      <c r="AA102" s="262">
        <f t="shared" si="232"/>
      </c>
      <c r="AB102" s="318">
        <f t="shared" si="233"/>
      </c>
      <c r="AC102" s="318">
        <f t="shared" si="234"/>
      </c>
      <c r="AD102" s="220">
        <f t="shared" si="235"/>
      </c>
      <c r="AE102" s="262">
        <f t="shared" si="236"/>
      </c>
      <c r="AF102" s="231">
        <f t="shared" si="237"/>
      </c>
      <c r="AG102" s="310">
        <f t="shared" si="238"/>
      </c>
      <c r="AH102" s="227">
        <f t="shared" si="239"/>
      </c>
      <c r="AI102" s="320">
        <f t="shared" si="240"/>
      </c>
      <c r="AJ102" s="320">
        <f t="shared" si="241"/>
      </c>
      <c r="AK102" s="320">
        <f t="shared" si="242"/>
      </c>
      <c r="AL102" s="320">
        <f t="shared" si="243"/>
      </c>
      <c r="AM102" s="282">
        <f t="shared" si="244"/>
      </c>
      <c r="AN102" s="103"/>
      <c r="AO102" s="119">
        <f t="shared" si="192"/>
        <v>0</v>
      </c>
      <c r="AP102" s="119">
        <f t="shared" si="245"/>
        <v>1</v>
      </c>
      <c r="AQ102" s="119">
        <f t="shared" si="246"/>
        <v>1</v>
      </c>
      <c r="AR102" s="119">
        <f>IF(OR(AO102+AP102+AQ102+GG102&gt;0,SUM($AO$30:AQ101)+GG101&gt;0),1,0)</f>
        <v>1</v>
      </c>
      <c r="AS102" s="119">
        <f t="shared" si="193"/>
      </c>
      <c r="AT102" s="119" t="str">
        <f t="shared" si="247"/>
        <v>符合「年齡滿65歲、年資滿15年」之屆齡退休擇領月退休金條件</v>
      </c>
      <c r="AU102" s="119">
        <f t="shared" si="248"/>
      </c>
      <c r="AV102" s="380" t="str">
        <f t="shared" si="249"/>
        <v>符合「年齡滿65歲、年資滿15年」之屆齡退休擇領月退休金條件</v>
      </c>
      <c r="AW102" s="120">
        <f t="shared" si="194"/>
        <v>0</v>
      </c>
      <c r="AX102" s="120">
        <f t="shared" si="195"/>
        <v>1</v>
      </c>
      <c r="AY102" s="120" t="str">
        <f t="shared" si="174"/>
        <v>符合</v>
      </c>
      <c r="AZ102" s="120">
        <f t="shared" si="196"/>
        <v>115</v>
      </c>
      <c r="BA102" s="120">
        <f t="shared" si="197"/>
        <v>20881231</v>
      </c>
      <c r="BB102" s="120" t="str">
        <f t="shared" si="198"/>
        <v>177.1.1~177.12.31</v>
      </c>
      <c r="BC102" s="121">
        <f t="shared" si="250"/>
      </c>
      <c r="BD102" s="122">
        <f t="shared" si="251"/>
      </c>
      <c r="BE102" s="122"/>
      <c r="BF102" s="120"/>
      <c r="BG102" s="123">
        <f t="shared" si="252"/>
      </c>
      <c r="BH102" s="31">
        <f t="shared" si="253"/>
        <v>1</v>
      </c>
      <c r="BI102" s="7">
        <f t="shared" si="254"/>
        <v>1</v>
      </c>
      <c r="BJ102" s="7"/>
      <c r="BK102" s="124">
        <f t="shared" si="199"/>
        <v>0</v>
      </c>
      <c r="BL102" s="124">
        <f t="shared" si="255"/>
      </c>
      <c r="BM102" s="124">
        <f t="shared" si="256"/>
        <v>0</v>
      </c>
      <c r="BN102" s="124">
        <f t="shared" si="257"/>
      </c>
      <c r="BO102" s="124">
        <f t="shared" si="258"/>
        <v>0</v>
      </c>
      <c r="BP102" s="124">
        <f t="shared" si="200"/>
      </c>
      <c r="BQ102" s="33"/>
      <c r="BR102" s="33"/>
      <c r="BS102" s="33"/>
      <c r="BT102" s="33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4"/>
      <c r="CH102" s="34"/>
      <c r="CI102" s="34"/>
      <c r="CJ102" s="34"/>
      <c r="CK102" s="183">
        <f t="shared" si="201"/>
        <v>13</v>
      </c>
      <c r="CL102" s="7">
        <f t="shared" si="202"/>
        <v>12</v>
      </c>
      <c r="CM102" s="20">
        <f t="shared" si="203"/>
        <v>177</v>
      </c>
      <c r="CN102" s="382">
        <f t="shared" si="259"/>
        <v>69019</v>
      </c>
      <c r="CO102" s="185">
        <f t="shared" si="260"/>
        <v>12</v>
      </c>
      <c r="CP102" s="2">
        <f t="shared" si="261"/>
        <v>17</v>
      </c>
      <c r="CQ102" s="382">
        <f t="shared" si="262"/>
        <v>69015</v>
      </c>
      <c r="CR102" s="185">
        <f t="shared" si="308"/>
        <v>12</v>
      </c>
      <c r="CS102" s="2">
        <f t="shared" si="309"/>
        <v>13</v>
      </c>
      <c r="CT102" s="2" t="str">
        <f t="shared" si="263"/>
        <v>初任</v>
      </c>
      <c r="CU102" s="382">
        <f t="shared" si="264"/>
        <v>69015</v>
      </c>
      <c r="CV102" s="2">
        <f t="shared" si="265"/>
        <v>12</v>
      </c>
      <c r="CW102" s="2" t="str">
        <f t="shared" si="266"/>
        <v>生日</v>
      </c>
      <c r="CX102" s="382">
        <f t="shared" si="267"/>
        <v>69019</v>
      </c>
      <c r="CY102" s="2">
        <f t="shared" si="268"/>
        <v>12</v>
      </c>
      <c r="CZ102" s="2">
        <f t="shared" si="204"/>
        <v>0</v>
      </c>
      <c r="DA102" s="2">
        <f t="shared" si="269"/>
      </c>
      <c r="DB102" s="2">
        <f t="shared" si="205"/>
      </c>
      <c r="DC102" s="2">
        <f t="shared" si="270"/>
      </c>
      <c r="DD102" s="2">
        <f t="shared" si="271"/>
      </c>
      <c r="DE102" s="2">
        <f t="shared" si="272"/>
      </c>
      <c r="DF102" s="2">
        <f t="shared" si="206"/>
      </c>
      <c r="DG102" s="129">
        <f t="shared" si="207"/>
      </c>
      <c r="DH102" s="2">
        <f t="shared" si="208"/>
      </c>
      <c r="DI102" s="2">
        <f t="shared" si="273"/>
      </c>
      <c r="DJ102" s="129">
        <f t="shared" si="274"/>
      </c>
      <c r="DK102" s="2">
        <f t="shared" si="209"/>
      </c>
      <c r="DL102" s="2">
        <f t="shared" si="275"/>
      </c>
      <c r="DM102" s="129">
        <f t="shared" si="276"/>
      </c>
      <c r="DN102" s="2">
        <f t="shared" si="210"/>
      </c>
      <c r="DO102" s="2">
        <f t="shared" si="211"/>
      </c>
      <c r="DP102" s="129">
        <f t="shared" si="277"/>
      </c>
      <c r="DQ102" s="2">
        <f t="shared" si="212"/>
      </c>
      <c r="DR102" s="2">
        <f t="shared" si="213"/>
      </c>
      <c r="DS102" s="129">
        <f t="shared" si="278"/>
      </c>
      <c r="DT102" s="2">
        <f t="shared" si="214"/>
      </c>
      <c r="DU102" s="2">
        <f t="shared" si="215"/>
      </c>
      <c r="DV102" s="129">
        <f t="shared" si="279"/>
      </c>
      <c r="DW102" s="2">
        <f t="shared" si="280"/>
      </c>
      <c r="DX102" s="2">
        <f t="shared" si="281"/>
      </c>
      <c r="DY102" s="129">
        <f t="shared" si="282"/>
      </c>
      <c r="DZ102" s="129"/>
      <c r="EA102" s="21">
        <f t="shared" si="283"/>
      </c>
      <c r="EB102" s="382">
        <f t="shared" si="284"/>
        <v>401769</v>
      </c>
      <c r="EC102" s="382">
        <f t="shared" si="285"/>
        <v>401769</v>
      </c>
      <c r="ED102" s="2">
        <f t="shared" si="286"/>
      </c>
      <c r="EE102" s="382">
        <f t="shared" si="287"/>
        <v>401769</v>
      </c>
      <c r="EF102" s="382">
        <f t="shared" si="288"/>
      </c>
      <c r="EG102" s="382">
        <f t="shared" si="289"/>
      </c>
      <c r="EH102" s="382"/>
      <c r="EI102" s="382">
        <f t="shared" si="290"/>
      </c>
      <c r="EJ102" s="208">
        <f t="shared" si="291"/>
        <v>401769</v>
      </c>
      <c r="EK102" s="2">
        <f t="shared" si="292"/>
      </c>
      <c r="EL102" s="2">
        <f t="shared" si="216"/>
      </c>
      <c r="EM102" s="34"/>
      <c r="EN102" s="7">
        <f t="shared" si="217"/>
        <v>1</v>
      </c>
      <c r="EO102" s="124">
        <f t="shared" si="218"/>
        <v>0</v>
      </c>
      <c r="EP102" s="214" t="str">
        <f t="shared" si="219"/>
        <v>●</v>
      </c>
      <c r="EQ102" s="213" t="str">
        <f t="shared" si="220"/>
        <v>●</v>
      </c>
      <c r="ER102" s="213" t="e">
        <f t="shared" si="221"/>
        <v>#VALUE!</v>
      </c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2"/>
      <c r="FD102" s="20"/>
      <c r="FE102" s="20">
        <f t="shared" si="293"/>
        <v>177</v>
      </c>
      <c r="FF102" s="2">
        <f t="shared" si="294"/>
        <v>1</v>
      </c>
      <c r="FG102" s="2">
        <f t="shared" si="295"/>
        <v>1</v>
      </c>
      <c r="FH102" s="2">
        <f t="shared" si="296"/>
        <v>1</v>
      </c>
      <c r="FI102" s="2">
        <f t="shared" si="297"/>
        <v>1</v>
      </c>
      <c r="FJ102" s="20"/>
      <c r="FK102" s="326">
        <f t="shared" si="298"/>
        <v>0</v>
      </c>
      <c r="FL102" s="326">
        <f t="shared" si="299"/>
        <v>0</v>
      </c>
      <c r="FM102" s="326">
        <f t="shared" si="300"/>
        <v>0</v>
      </c>
      <c r="FN102" s="326">
        <f t="shared" si="301"/>
        <v>0</v>
      </c>
      <c r="FP102" s="326"/>
      <c r="FQ102" s="326"/>
      <c r="FR102" s="326"/>
      <c r="FS102" s="326"/>
      <c r="GF102" s="2">
        <v>65</v>
      </c>
      <c r="GG102" s="2">
        <f t="shared" si="302"/>
        <v>1</v>
      </c>
      <c r="GH102" s="2">
        <f t="shared" si="303"/>
      </c>
      <c r="GI102" s="20">
        <f t="shared" si="304"/>
      </c>
      <c r="GJ102" s="20"/>
      <c r="GK102" s="20">
        <f t="shared" si="305"/>
      </c>
    </row>
    <row r="103" spans="1:193" s="29" customFormat="1" ht="15.75" customHeight="1" hidden="1" thickBot="1" thickTop="1">
      <c r="A103" s="144"/>
      <c r="B103" s="150">
        <f t="shared" si="306"/>
        <v>178</v>
      </c>
      <c r="C103" s="26">
        <f t="shared" si="222"/>
        <v>20891231</v>
      </c>
      <c r="D103" s="26" t="str">
        <f t="shared" si="223"/>
        <v>2089</v>
      </c>
      <c r="E103" s="26" t="str">
        <f t="shared" si="224"/>
        <v>12</v>
      </c>
      <c r="F103" s="26" t="str">
        <f t="shared" si="225"/>
        <v>31</v>
      </c>
      <c r="G103" s="26" t="str">
        <f t="shared" si="226"/>
        <v>2089/12/31</v>
      </c>
      <c r="H103" s="117">
        <f t="shared" si="188"/>
        <v>96</v>
      </c>
      <c r="I103" s="117">
        <f t="shared" si="227"/>
        <v>0</v>
      </c>
      <c r="J103" s="26">
        <f t="shared" si="310"/>
        <v>18</v>
      </c>
      <c r="K103" s="118">
        <f t="shared" si="189"/>
        <v>96</v>
      </c>
      <c r="L103" s="118">
        <f t="shared" si="190"/>
        <v>0</v>
      </c>
      <c r="M103" s="118">
        <f t="shared" si="191"/>
        <v>18</v>
      </c>
      <c r="N103" s="609" t="str">
        <f t="shared" si="228"/>
        <v>178.1.1~178.12.31</v>
      </c>
      <c r="O103" s="610"/>
      <c r="P103" s="610"/>
      <c r="Q103" s="611"/>
      <c r="R103" s="292" t="str">
        <f t="shared" si="307"/>
        <v>65</v>
      </c>
      <c r="S103" s="338">
        <f t="shared" si="229"/>
        <v>116</v>
      </c>
      <c r="T103" s="339">
        <f t="shared" si="230"/>
        <v>96</v>
      </c>
      <c r="U103" s="204">
        <f t="shared" si="231"/>
        <v>212</v>
      </c>
      <c r="V103" s="149"/>
      <c r="W103" s="613">
        <f t="shared" si="176"/>
      </c>
      <c r="X103" s="614"/>
      <c r="Y103" s="614"/>
      <c r="Z103" s="615"/>
      <c r="AA103" s="262">
        <f t="shared" si="232"/>
      </c>
      <c r="AB103" s="318">
        <f t="shared" si="233"/>
      </c>
      <c r="AC103" s="318">
        <f t="shared" si="234"/>
      </c>
      <c r="AD103" s="220">
        <f t="shared" si="235"/>
      </c>
      <c r="AE103" s="262">
        <f t="shared" si="236"/>
      </c>
      <c r="AF103" s="231">
        <f t="shared" si="237"/>
      </c>
      <c r="AG103" s="310">
        <f t="shared" si="238"/>
      </c>
      <c r="AH103" s="227">
        <f t="shared" si="239"/>
      </c>
      <c r="AI103" s="320">
        <f t="shared" si="240"/>
      </c>
      <c r="AJ103" s="320">
        <f t="shared" si="241"/>
      </c>
      <c r="AK103" s="320">
        <f t="shared" si="242"/>
      </c>
      <c r="AL103" s="320">
        <f t="shared" si="243"/>
      </c>
      <c r="AM103" s="282">
        <f t="shared" si="244"/>
      </c>
      <c r="AN103" s="103"/>
      <c r="AO103" s="119">
        <f t="shared" si="192"/>
        <v>0</v>
      </c>
      <c r="AP103" s="119">
        <f t="shared" si="245"/>
        <v>1</v>
      </c>
      <c r="AQ103" s="119">
        <f t="shared" si="246"/>
        <v>1</v>
      </c>
      <c r="AR103" s="119">
        <f>IF(OR(AO103+AP103+AQ103+GG103&gt;0,SUM($AO$30:AQ102)+GG102&gt;0),1,0)</f>
        <v>1</v>
      </c>
      <c r="AS103" s="119">
        <f t="shared" si="193"/>
      </c>
      <c r="AT103" s="119" t="str">
        <f t="shared" si="247"/>
        <v>符合「年齡滿65歲、年資滿15年」之屆齡退休擇領月退休金條件</v>
      </c>
      <c r="AU103" s="119">
        <f t="shared" si="248"/>
      </c>
      <c r="AV103" s="380" t="str">
        <f t="shared" si="249"/>
        <v>符合「年齡滿65歲、年資滿15年」之屆齡退休擇領月退休金條件</v>
      </c>
      <c r="AW103" s="120">
        <f t="shared" si="194"/>
        <v>0</v>
      </c>
      <c r="AX103" s="120">
        <f t="shared" si="195"/>
        <v>1</v>
      </c>
      <c r="AY103" s="120" t="str">
        <f t="shared" si="174"/>
        <v>符合</v>
      </c>
      <c r="AZ103" s="120">
        <f t="shared" si="196"/>
        <v>116</v>
      </c>
      <c r="BA103" s="120">
        <f t="shared" si="197"/>
        <v>20891231</v>
      </c>
      <c r="BB103" s="120" t="str">
        <f t="shared" si="198"/>
        <v>178.1.1~178.12.31</v>
      </c>
      <c r="BC103" s="121">
        <f t="shared" si="250"/>
      </c>
      <c r="BD103" s="122">
        <f t="shared" si="251"/>
      </c>
      <c r="BE103" s="122"/>
      <c r="BF103" s="120"/>
      <c r="BG103" s="123">
        <f t="shared" si="252"/>
      </c>
      <c r="BH103" s="31">
        <f t="shared" si="253"/>
        <v>1</v>
      </c>
      <c r="BI103" s="7">
        <f t="shared" si="254"/>
        <v>1</v>
      </c>
      <c r="BJ103" s="7"/>
      <c r="BK103" s="124">
        <f t="shared" si="199"/>
        <v>0</v>
      </c>
      <c r="BL103" s="124">
        <f t="shared" si="255"/>
      </c>
      <c r="BM103" s="124">
        <f t="shared" si="256"/>
        <v>0</v>
      </c>
      <c r="BN103" s="124">
        <f t="shared" si="257"/>
      </c>
      <c r="BO103" s="124">
        <f t="shared" si="258"/>
        <v>0</v>
      </c>
      <c r="BP103" s="124">
        <f t="shared" si="200"/>
      </c>
      <c r="BQ103" s="33"/>
      <c r="BR103" s="33"/>
      <c r="BS103" s="33"/>
      <c r="BT103" s="33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4"/>
      <c r="CH103" s="34"/>
      <c r="CI103" s="34"/>
      <c r="CJ103" s="34"/>
      <c r="CK103" s="183">
        <f t="shared" si="201"/>
        <v>13</v>
      </c>
      <c r="CL103" s="7">
        <f t="shared" si="202"/>
        <v>12</v>
      </c>
      <c r="CM103" s="20">
        <f t="shared" si="203"/>
        <v>178</v>
      </c>
      <c r="CN103" s="382">
        <f t="shared" si="259"/>
        <v>69384</v>
      </c>
      <c r="CO103" s="185">
        <f t="shared" si="260"/>
        <v>12</v>
      </c>
      <c r="CP103" s="2">
        <f t="shared" si="261"/>
        <v>17</v>
      </c>
      <c r="CQ103" s="382">
        <f t="shared" si="262"/>
        <v>69380</v>
      </c>
      <c r="CR103" s="185">
        <f t="shared" si="308"/>
        <v>12</v>
      </c>
      <c r="CS103" s="2">
        <f t="shared" si="309"/>
        <v>13</v>
      </c>
      <c r="CT103" s="2" t="str">
        <f t="shared" si="263"/>
        <v>初任</v>
      </c>
      <c r="CU103" s="382">
        <f t="shared" si="264"/>
        <v>69380</v>
      </c>
      <c r="CV103" s="2">
        <f t="shared" si="265"/>
        <v>12</v>
      </c>
      <c r="CW103" s="2" t="str">
        <f t="shared" si="266"/>
        <v>生日</v>
      </c>
      <c r="CX103" s="382">
        <f t="shared" si="267"/>
        <v>69384</v>
      </c>
      <c r="CY103" s="2">
        <f t="shared" si="268"/>
        <v>12</v>
      </c>
      <c r="CZ103" s="2">
        <f t="shared" si="204"/>
        <v>0</v>
      </c>
      <c r="DA103" s="2">
        <f t="shared" si="269"/>
      </c>
      <c r="DB103" s="2">
        <f t="shared" si="205"/>
      </c>
      <c r="DC103" s="2">
        <f t="shared" si="270"/>
      </c>
      <c r="DD103" s="2">
        <f t="shared" si="271"/>
      </c>
      <c r="DE103" s="2">
        <f t="shared" si="272"/>
      </c>
      <c r="DF103" s="2">
        <f t="shared" si="206"/>
      </c>
      <c r="DG103" s="129">
        <f t="shared" si="207"/>
      </c>
      <c r="DH103" s="2">
        <f t="shared" si="208"/>
      </c>
      <c r="DI103" s="2">
        <f t="shared" si="273"/>
      </c>
      <c r="DJ103" s="129">
        <f t="shared" si="274"/>
      </c>
      <c r="DK103" s="2">
        <f t="shared" si="209"/>
      </c>
      <c r="DL103" s="2">
        <f t="shared" si="275"/>
      </c>
      <c r="DM103" s="129">
        <f t="shared" si="276"/>
      </c>
      <c r="DN103" s="2">
        <f t="shared" si="210"/>
      </c>
      <c r="DO103" s="2">
        <f t="shared" si="211"/>
      </c>
      <c r="DP103" s="129">
        <f t="shared" si="277"/>
      </c>
      <c r="DQ103" s="2">
        <f t="shared" si="212"/>
      </c>
      <c r="DR103" s="2">
        <f t="shared" si="213"/>
      </c>
      <c r="DS103" s="129">
        <f t="shared" si="278"/>
      </c>
      <c r="DT103" s="2">
        <f t="shared" si="214"/>
      </c>
      <c r="DU103" s="2">
        <f t="shared" si="215"/>
      </c>
      <c r="DV103" s="129">
        <f t="shared" si="279"/>
      </c>
      <c r="DW103" s="2">
        <f t="shared" si="280"/>
      </c>
      <c r="DX103" s="2">
        <f t="shared" si="281"/>
      </c>
      <c r="DY103" s="129">
        <f t="shared" si="282"/>
      </c>
      <c r="DZ103" s="129"/>
      <c r="EA103" s="21">
        <f t="shared" si="283"/>
      </c>
      <c r="EB103" s="382">
        <f t="shared" si="284"/>
        <v>401769</v>
      </c>
      <c r="EC103" s="382">
        <f t="shared" si="285"/>
        <v>401769</v>
      </c>
      <c r="ED103" s="2">
        <f t="shared" si="286"/>
      </c>
      <c r="EE103" s="382">
        <f t="shared" si="287"/>
        <v>401769</v>
      </c>
      <c r="EF103" s="382">
        <f t="shared" si="288"/>
      </c>
      <c r="EG103" s="382">
        <f t="shared" si="289"/>
      </c>
      <c r="EH103" s="382"/>
      <c r="EI103" s="382">
        <f t="shared" si="290"/>
      </c>
      <c r="EJ103" s="208">
        <f t="shared" si="291"/>
        <v>401769</v>
      </c>
      <c r="EK103" s="2">
        <f t="shared" si="292"/>
      </c>
      <c r="EL103" s="2">
        <f t="shared" si="216"/>
      </c>
      <c r="EM103" s="34"/>
      <c r="EN103" s="7">
        <f t="shared" si="217"/>
        <v>1</v>
      </c>
      <c r="EO103" s="124">
        <f t="shared" si="218"/>
        <v>0</v>
      </c>
      <c r="EP103" s="214" t="str">
        <f t="shared" si="219"/>
        <v>●</v>
      </c>
      <c r="EQ103" s="213" t="str">
        <f t="shared" si="220"/>
        <v>●</v>
      </c>
      <c r="ER103" s="213" t="e">
        <f t="shared" si="221"/>
        <v>#VALUE!</v>
      </c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2"/>
      <c r="FD103" s="20"/>
      <c r="FE103" s="20">
        <f t="shared" si="293"/>
        <v>178</v>
      </c>
      <c r="FF103" s="2">
        <f t="shared" si="294"/>
        <v>1</v>
      </c>
      <c r="FG103" s="2">
        <f t="shared" si="295"/>
        <v>1</v>
      </c>
      <c r="FH103" s="2">
        <f t="shared" si="296"/>
        <v>1</v>
      </c>
      <c r="FI103" s="2">
        <f t="shared" si="297"/>
        <v>1</v>
      </c>
      <c r="FJ103" s="20"/>
      <c r="FK103" s="326">
        <f t="shared" si="298"/>
        <v>0</v>
      </c>
      <c r="FL103" s="326">
        <f t="shared" si="299"/>
        <v>0</v>
      </c>
      <c r="FM103" s="326">
        <f t="shared" si="300"/>
        <v>0</v>
      </c>
      <c r="FN103" s="326">
        <f t="shared" si="301"/>
        <v>0</v>
      </c>
      <c r="FP103" s="326"/>
      <c r="FQ103" s="326"/>
      <c r="FR103" s="326"/>
      <c r="FS103" s="326"/>
      <c r="GF103" s="2">
        <v>65</v>
      </c>
      <c r="GG103" s="2">
        <f t="shared" si="302"/>
        <v>1</v>
      </c>
      <c r="GH103" s="2">
        <f t="shared" si="303"/>
      </c>
      <c r="GI103" s="20">
        <f t="shared" si="304"/>
      </c>
      <c r="GJ103" s="20"/>
      <c r="GK103" s="20">
        <f t="shared" si="305"/>
      </c>
    </row>
    <row r="104" spans="1:193" s="29" customFormat="1" ht="15.75" customHeight="1" hidden="1" thickBot="1" thickTop="1">
      <c r="A104" s="144"/>
      <c r="B104" s="150">
        <f t="shared" si="306"/>
        <v>179</v>
      </c>
      <c r="C104" s="26">
        <f t="shared" si="222"/>
        <v>20901231</v>
      </c>
      <c r="D104" s="26" t="str">
        <f t="shared" si="223"/>
        <v>2090</v>
      </c>
      <c r="E104" s="26" t="str">
        <f t="shared" si="224"/>
        <v>12</v>
      </c>
      <c r="F104" s="26" t="str">
        <f t="shared" si="225"/>
        <v>31</v>
      </c>
      <c r="G104" s="26" t="str">
        <f t="shared" si="226"/>
        <v>2090/12/31</v>
      </c>
      <c r="H104" s="117">
        <f t="shared" si="188"/>
        <v>97</v>
      </c>
      <c r="I104" s="117">
        <f t="shared" si="227"/>
        <v>0</v>
      </c>
      <c r="J104" s="26">
        <f t="shared" si="310"/>
        <v>18</v>
      </c>
      <c r="K104" s="118">
        <f t="shared" si="189"/>
        <v>97</v>
      </c>
      <c r="L104" s="118">
        <f t="shared" si="190"/>
        <v>0</v>
      </c>
      <c r="M104" s="118">
        <f t="shared" si="191"/>
        <v>18</v>
      </c>
      <c r="N104" s="609" t="str">
        <f t="shared" si="228"/>
        <v>179.1.1~179.12.31</v>
      </c>
      <c r="O104" s="610"/>
      <c r="P104" s="610"/>
      <c r="Q104" s="611"/>
      <c r="R104" s="292" t="str">
        <f t="shared" si="307"/>
        <v>65</v>
      </c>
      <c r="S104" s="338">
        <f t="shared" si="229"/>
        <v>117</v>
      </c>
      <c r="T104" s="339">
        <f t="shared" si="230"/>
        <v>97</v>
      </c>
      <c r="U104" s="204">
        <f t="shared" si="231"/>
        <v>214</v>
      </c>
      <c r="V104" s="149"/>
      <c r="W104" s="613">
        <f t="shared" si="176"/>
      </c>
      <c r="X104" s="614"/>
      <c r="Y104" s="614"/>
      <c r="Z104" s="615"/>
      <c r="AA104" s="262">
        <f t="shared" si="232"/>
      </c>
      <c r="AB104" s="318">
        <f t="shared" si="233"/>
      </c>
      <c r="AC104" s="318">
        <f t="shared" si="234"/>
      </c>
      <c r="AD104" s="220">
        <f t="shared" si="235"/>
      </c>
      <c r="AE104" s="262">
        <f t="shared" si="236"/>
      </c>
      <c r="AF104" s="231">
        <f t="shared" si="237"/>
      </c>
      <c r="AG104" s="310">
        <f t="shared" si="238"/>
      </c>
      <c r="AH104" s="227">
        <f t="shared" si="239"/>
      </c>
      <c r="AI104" s="320">
        <f t="shared" si="240"/>
      </c>
      <c r="AJ104" s="320">
        <f t="shared" si="241"/>
      </c>
      <c r="AK104" s="320">
        <f t="shared" si="242"/>
      </c>
      <c r="AL104" s="320">
        <f t="shared" si="243"/>
      </c>
      <c r="AM104" s="282">
        <f t="shared" si="244"/>
      </c>
      <c r="AN104" s="103"/>
      <c r="AO104" s="119">
        <f t="shared" si="192"/>
        <v>0</v>
      </c>
      <c r="AP104" s="119">
        <f t="shared" si="245"/>
        <v>1</v>
      </c>
      <c r="AQ104" s="119">
        <f t="shared" si="246"/>
        <v>1</v>
      </c>
      <c r="AR104" s="119">
        <f>IF(OR(AO104+AP104+AQ104+GG104&gt;0,SUM($AO$30:AQ103)+GG103&gt;0),1,0)</f>
        <v>1</v>
      </c>
      <c r="AS104" s="119">
        <f t="shared" si="193"/>
      </c>
      <c r="AT104" s="119" t="str">
        <f t="shared" si="247"/>
        <v>符合「年齡滿65歲、年資滿15年」之屆齡退休擇領月退休金條件</v>
      </c>
      <c r="AU104" s="119">
        <f t="shared" si="248"/>
      </c>
      <c r="AV104" s="380" t="str">
        <f t="shared" si="249"/>
        <v>符合「年齡滿65歲、年資滿15年」之屆齡退休擇領月退休金條件</v>
      </c>
      <c r="AW104" s="120">
        <f t="shared" si="194"/>
        <v>0</v>
      </c>
      <c r="AX104" s="120">
        <f t="shared" si="195"/>
        <v>1</v>
      </c>
      <c r="AY104" s="120" t="str">
        <f t="shared" si="174"/>
        <v>符合</v>
      </c>
      <c r="AZ104" s="120">
        <f t="shared" si="196"/>
        <v>117</v>
      </c>
      <c r="BA104" s="120">
        <f t="shared" si="197"/>
        <v>20901231</v>
      </c>
      <c r="BB104" s="120" t="str">
        <f t="shared" si="198"/>
        <v>179.1.1~179.12.31</v>
      </c>
      <c r="BC104" s="121">
        <f t="shared" si="250"/>
      </c>
      <c r="BD104" s="122">
        <f t="shared" si="251"/>
      </c>
      <c r="BE104" s="122"/>
      <c r="BF104" s="120"/>
      <c r="BG104" s="123">
        <f t="shared" si="252"/>
      </c>
      <c r="BH104" s="31">
        <f t="shared" si="253"/>
        <v>1</v>
      </c>
      <c r="BI104" s="7">
        <f t="shared" si="254"/>
        <v>1</v>
      </c>
      <c r="BJ104" s="7"/>
      <c r="BK104" s="124">
        <f t="shared" si="199"/>
        <v>0</v>
      </c>
      <c r="BL104" s="124">
        <f t="shared" si="255"/>
      </c>
      <c r="BM104" s="124">
        <f t="shared" si="256"/>
        <v>0</v>
      </c>
      <c r="BN104" s="124">
        <f t="shared" si="257"/>
      </c>
      <c r="BO104" s="124">
        <f t="shared" si="258"/>
        <v>0</v>
      </c>
      <c r="BP104" s="124">
        <f t="shared" si="200"/>
      </c>
      <c r="BQ104" s="33"/>
      <c r="BR104" s="33"/>
      <c r="BS104" s="33"/>
      <c r="BT104" s="33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4"/>
      <c r="CH104" s="34"/>
      <c r="CI104" s="34"/>
      <c r="CJ104" s="34"/>
      <c r="CK104" s="183">
        <f t="shared" si="201"/>
        <v>13</v>
      </c>
      <c r="CL104" s="7">
        <f t="shared" si="202"/>
        <v>12</v>
      </c>
      <c r="CM104" s="20">
        <f t="shared" si="203"/>
        <v>179</v>
      </c>
      <c r="CN104" s="382">
        <f t="shared" si="259"/>
        <v>69749</v>
      </c>
      <c r="CO104" s="185">
        <f t="shared" si="260"/>
        <v>12</v>
      </c>
      <c r="CP104" s="2">
        <f t="shared" si="261"/>
        <v>17</v>
      </c>
      <c r="CQ104" s="382">
        <f t="shared" si="262"/>
        <v>69745</v>
      </c>
      <c r="CR104" s="185">
        <f t="shared" si="308"/>
        <v>12</v>
      </c>
      <c r="CS104" s="2">
        <f t="shared" si="309"/>
        <v>13</v>
      </c>
      <c r="CT104" s="2" t="str">
        <f t="shared" si="263"/>
        <v>初任</v>
      </c>
      <c r="CU104" s="382">
        <f t="shared" si="264"/>
        <v>69745</v>
      </c>
      <c r="CV104" s="2">
        <f t="shared" si="265"/>
        <v>12</v>
      </c>
      <c r="CW104" s="2" t="str">
        <f t="shared" si="266"/>
        <v>生日</v>
      </c>
      <c r="CX104" s="382">
        <f t="shared" si="267"/>
        <v>69749</v>
      </c>
      <c r="CY104" s="2">
        <f t="shared" si="268"/>
        <v>12</v>
      </c>
      <c r="CZ104" s="2">
        <f t="shared" si="204"/>
        <v>0</v>
      </c>
      <c r="DA104" s="2">
        <f t="shared" si="269"/>
      </c>
      <c r="DB104" s="2">
        <f t="shared" si="205"/>
      </c>
      <c r="DC104" s="2">
        <f t="shared" si="270"/>
      </c>
      <c r="DD104" s="2">
        <f t="shared" si="271"/>
      </c>
      <c r="DE104" s="2">
        <f t="shared" si="272"/>
      </c>
      <c r="DF104" s="2">
        <f t="shared" si="206"/>
      </c>
      <c r="DG104" s="129">
        <f t="shared" si="207"/>
      </c>
      <c r="DH104" s="2">
        <f t="shared" si="208"/>
      </c>
      <c r="DI104" s="2">
        <f t="shared" si="273"/>
      </c>
      <c r="DJ104" s="129">
        <f t="shared" si="274"/>
      </c>
      <c r="DK104" s="2">
        <f t="shared" si="209"/>
      </c>
      <c r="DL104" s="2">
        <f t="shared" si="275"/>
      </c>
      <c r="DM104" s="129">
        <f t="shared" si="276"/>
      </c>
      <c r="DN104" s="2">
        <f t="shared" si="210"/>
      </c>
      <c r="DO104" s="2">
        <f t="shared" si="211"/>
      </c>
      <c r="DP104" s="129">
        <f t="shared" si="277"/>
      </c>
      <c r="DQ104" s="2">
        <f t="shared" si="212"/>
      </c>
      <c r="DR104" s="2">
        <f t="shared" si="213"/>
      </c>
      <c r="DS104" s="129">
        <f t="shared" si="278"/>
      </c>
      <c r="DT104" s="2">
        <f t="shared" si="214"/>
      </c>
      <c r="DU104" s="2">
        <f t="shared" si="215"/>
      </c>
      <c r="DV104" s="129">
        <f t="shared" si="279"/>
      </c>
      <c r="DW104" s="2">
        <f t="shared" si="280"/>
      </c>
      <c r="DX104" s="2">
        <f t="shared" si="281"/>
      </c>
      <c r="DY104" s="129">
        <f t="shared" si="282"/>
      </c>
      <c r="DZ104" s="129"/>
      <c r="EA104" s="21">
        <f t="shared" si="283"/>
      </c>
      <c r="EB104" s="382">
        <f t="shared" si="284"/>
        <v>401769</v>
      </c>
      <c r="EC104" s="382">
        <f t="shared" si="285"/>
        <v>401769</v>
      </c>
      <c r="ED104" s="2">
        <f t="shared" si="286"/>
      </c>
      <c r="EE104" s="382">
        <f t="shared" si="287"/>
        <v>401769</v>
      </c>
      <c r="EF104" s="382">
        <f t="shared" si="288"/>
      </c>
      <c r="EG104" s="382">
        <f t="shared" si="289"/>
      </c>
      <c r="EH104" s="382"/>
      <c r="EI104" s="382">
        <f t="shared" si="290"/>
      </c>
      <c r="EJ104" s="208">
        <f t="shared" si="291"/>
        <v>401769</v>
      </c>
      <c r="EK104" s="2">
        <f t="shared" si="292"/>
      </c>
      <c r="EL104" s="2">
        <f t="shared" si="216"/>
      </c>
      <c r="EM104" s="34"/>
      <c r="EN104" s="7">
        <f t="shared" si="217"/>
        <v>1</v>
      </c>
      <c r="EO104" s="124">
        <f t="shared" si="218"/>
        <v>0</v>
      </c>
      <c r="EP104" s="214" t="str">
        <f t="shared" si="219"/>
        <v>●</v>
      </c>
      <c r="EQ104" s="213" t="str">
        <f t="shared" si="220"/>
        <v>●</v>
      </c>
      <c r="ER104" s="213" t="e">
        <f t="shared" si="221"/>
        <v>#VALUE!</v>
      </c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2"/>
      <c r="FD104" s="20"/>
      <c r="FE104" s="20">
        <f t="shared" si="293"/>
        <v>179</v>
      </c>
      <c r="FF104" s="2">
        <f t="shared" si="294"/>
        <v>1</v>
      </c>
      <c r="FG104" s="2">
        <f t="shared" si="295"/>
        <v>1</v>
      </c>
      <c r="FH104" s="2">
        <f t="shared" si="296"/>
        <v>1</v>
      </c>
      <c r="FI104" s="2">
        <f t="shared" si="297"/>
        <v>1</v>
      </c>
      <c r="FJ104" s="20"/>
      <c r="FK104" s="326">
        <f t="shared" si="298"/>
        <v>0</v>
      </c>
      <c r="FL104" s="326">
        <f t="shared" si="299"/>
        <v>0</v>
      </c>
      <c r="FM104" s="326">
        <f t="shared" si="300"/>
        <v>0</v>
      </c>
      <c r="FN104" s="326">
        <f t="shared" si="301"/>
        <v>0</v>
      </c>
      <c r="FP104" s="326"/>
      <c r="FQ104" s="326"/>
      <c r="FR104" s="326"/>
      <c r="FS104" s="326"/>
      <c r="GF104" s="2">
        <v>65</v>
      </c>
      <c r="GG104" s="2">
        <f t="shared" si="302"/>
        <v>1</v>
      </c>
      <c r="GH104" s="2">
        <f t="shared" si="303"/>
      </c>
      <c r="GI104" s="20">
        <f t="shared" si="304"/>
      </c>
      <c r="GJ104" s="20"/>
      <c r="GK104" s="20">
        <f t="shared" si="305"/>
      </c>
    </row>
    <row r="105" spans="1:193" s="29" customFormat="1" ht="15.75" customHeight="1" hidden="1" thickBot="1" thickTop="1">
      <c r="A105" s="144"/>
      <c r="B105" s="150">
        <f t="shared" si="306"/>
        <v>180</v>
      </c>
      <c r="C105" s="26">
        <f t="shared" si="222"/>
        <v>20911231</v>
      </c>
      <c r="D105" s="26" t="str">
        <f t="shared" si="223"/>
        <v>2091</v>
      </c>
      <c r="E105" s="26" t="str">
        <f t="shared" si="224"/>
        <v>12</v>
      </c>
      <c r="F105" s="26" t="str">
        <f t="shared" si="225"/>
        <v>31</v>
      </c>
      <c r="G105" s="26" t="str">
        <f t="shared" si="226"/>
        <v>2091/12/31</v>
      </c>
      <c r="H105" s="117">
        <f t="shared" si="188"/>
        <v>98</v>
      </c>
      <c r="I105" s="117">
        <f t="shared" si="227"/>
        <v>0</v>
      </c>
      <c r="J105" s="26">
        <f t="shared" si="310"/>
        <v>18</v>
      </c>
      <c r="K105" s="118">
        <f t="shared" si="189"/>
        <v>98</v>
      </c>
      <c r="L105" s="118">
        <f t="shared" si="190"/>
        <v>0</v>
      </c>
      <c r="M105" s="118">
        <f t="shared" si="191"/>
        <v>18</v>
      </c>
      <c r="N105" s="609" t="str">
        <f t="shared" si="228"/>
        <v>180.1.1~180.12.31</v>
      </c>
      <c r="O105" s="610"/>
      <c r="P105" s="610"/>
      <c r="Q105" s="611"/>
      <c r="R105" s="292" t="str">
        <f t="shared" si="307"/>
        <v>65</v>
      </c>
      <c r="S105" s="338">
        <f t="shared" si="229"/>
        <v>118</v>
      </c>
      <c r="T105" s="339">
        <f t="shared" si="230"/>
        <v>98</v>
      </c>
      <c r="U105" s="204">
        <f t="shared" si="231"/>
        <v>216</v>
      </c>
      <c r="V105" s="149"/>
      <c r="W105" s="613">
        <f t="shared" si="176"/>
      </c>
      <c r="X105" s="614"/>
      <c r="Y105" s="614"/>
      <c r="Z105" s="615"/>
      <c r="AA105" s="262">
        <f t="shared" si="232"/>
      </c>
      <c r="AB105" s="318">
        <f t="shared" si="233"/>
      </c>
      <c r="AC105" s="318">
        <f t="shared" si="234"/>
      </c>
      <c r="AD105" s="220">
        <f t="shared" si="235"/>
      </c>
      <c r="AE105" s="262">
        <f t="shared" si="236"/>
      </c>
      <c r="AF105" s="231">
        <f t="shared" si="237"/>
      </c>
      <c r="AG105" s="310">
        <f t="shared" si="238"/>
      </c>
      <c r="AH105" s="227">
        <f t="shared" si="239"/>
      </c>
      <c r="AI105" s="320">
        <f t="shared" si="240"/>
      </c>
      <c r="AJ105" s="320">
        <f t="shared" si="241"/>
      </c>
      <c r="AK105" s="320">
        <f t="shared" si="242"/>
      </c>
      <c r="AL105" s="320">
        <f t="shared" si="243"/>
      </c>
      <c r="AM105" s="282">
        <f t="shared" si="244"/>
      </c>
      <c r="AN105" s="103"/>
      <c r="AO105" s="119">
        <f t="shared" si="192"/>
        <v>0</v>
      </c>
      <c r="AP105" s="119">
        <f t="shared" si="245"/>
        <v>1</v>
      </c>
      <c r="AQ105" s="119">
        <f t="shared" si="246"/>
        <v>1</v>
      </c>
      <c r="AR105" s="119">
        <f>IF(OR(AO105+AP105+AQ105+GG105&gt;0,SUM($AO$30:AQ104)+GG104&gt;0),1,0)</f>
        <v>1</v>
      </c>
      <c r="AS105" s="119">
        <f t="shared" si="193"/>
      </c>
      <c r="AT105" s="119" t="str">
        <f t="shared" si="247"/>
        <v>符合「年齡滿65歲、年資滿15年」之屆齡退休擇領月退休金條件</v>
      </c>
      <c r="AU105" s="119">
        <f t="shared" si="248"/>
      </c>
      <c r="AV105" s="380" t="str">
        <f t="shared" si="249"/>
        <v>符合「年齡滿65歲、年資滿15年」之屆齡退休擇領月退休金條件</v>
      </c>
      <c r="AW105" s="120">
        <f t="shared" si="194"/>
        <v>0</v>
      </c>
      <c r="AX105" s="120">
        <f t="shared" si="195"/>
        <v>1</v>
      </c>
      <c r="AY105" s="120" t="str">
        <f t="shared" si="174"/>
        <v>符合</v>
      </c>
      <c r="AZ105" s="120">
        <f t="shared" si="196"/>
        <v>118</v>
      </c>
      <c r="BA105" s="120">
        <f t="shared" si="197"/>
        <v>20911231</v>
      </c>
      <c r="BB105" s="120" t="str">
        <f t="shared" si="198"/>
        <v>180.1.1~180.12.31</v>
      </c>
      <c r="BC105" s="121">
        <f t="shared" si="250"/>
      </c>
      <c r="BD105" s="122">
        <f t="shared" si="251"/>
      </c>
      <c r="BE105" s="122"/>
      <c r="BF105" s="120"/>
      <c r="BG105" s="123">
        <f t="shared" si="252"/>
      </c>
      <c r="BH105" s="31">
        <f t="shared" si="253"/>
        <v>1</v>
      </c>
      <c r="BI105" s="7">
        <f t="shared" si="254"/>
        <v>1</v>
      </c>
      <c r="BJ105" s="7"/>
      <c r="BK105" s="124">
        <f t="shared" si="199"/>
        <v>0</v>
      </c>
      <c r="BL105" s="124">
        <f t="shared" si="255"/>
      </c>
      <c r="BM105" s="124">
        <f t="shared" si="256"/>
        <v>0</v>
      </c>
      <c r="BN105" s="124">
        <f t="shared" si="257"/>
      </c>
      <c r="BO105" s="124">
        <f t="shared" si="258"/>
        <v>0</v>
      </c>
      <c r="BP105" s="124">
        <f t="shared" si="200"/>
      </c>
      <c r="BQ105" s="33"/>
      <c r="BR105" s="33"/>
      <c r="BS105" s="33"/>
      <c r="BT105" s="33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4"/>
      <c r="CH105" s="34"/>
      <c r="CI105" s="34"/>
      <c r="CJ105" s="34"/>
      <c r="CK105" s="183">
        <f t="shared" si="201"/>
        <v>13</v>
      </c>
      <c r="CL105" s="7">
        <f t="shared" si="202"/>
        <v>12</v>
      </c>
      <c r="CM105" s="20">
        <f t="shared" si="203"/>
        <v>180</v>
      </c>
      <c r="CN105" s="382">
        <f t="shared" si="259"/>
        <v>70114</v>
      </c>
      <c r="CO105" s="185">
        <f t="shared" si="260"/>
        <v>12</v>
      </c>
      <c r="CP105" s="2">
        <f t="shared" si="261"/>
        <v>17</v>
      </c>
      <c r="CQ105" s="382">
        <f t="shared" si="262"/>
        <v>70110</v>
      </c>
      <c r="CR105" s="185">
        <f t="shared" si="308"/>
        <v>12</v>
      </c>
      <c r="CS105" s="2">
        <f t="shared" si="309"/>
        <v>13</v>
      </c>
      <c r="CT105" s="2" t="str">
        <f t="shared" si="263"/>
        <v>初任</v>
      </c>
      <c r="CU105" s="382">
        <f t="shared" si="264"/>
        <v>70110</v>
      </c>
      <c r="CV105" s="2">
        <f t="shared" si="265"/>
        <v>12</v>
      </c>
      <c r="CW105" s="2" t="str">
        <f t="shared" si="266"/>
        <v>生日</v>
      </c>
      <c r="CX105" s="382">
        <f t="shared" si="267"/>
        <v>70114</v>
      </c>
      <c r="CY105" s="2">
        <f t="shared" si="268"/>
        <v>12</v>
      </c>
      <c r="CZ105" s="2">
        <f t="shared" si="204"/>
        <v>0</v>
      </c>
      <c r="DA105" s="2">
        <f t="shared" si="269"/>
      </c>
      <c r="DB105" s="2">
        <f t="shared" si="205"/>
      </c>
      <c r="DC105" s="2">
        <f t="shared" si="270"/>
      </c>
      <c r="DD105" s="2">
        <f t="shared" si="271"/>
      </c>
      <c r="DE105" s="2">
        <f t="shared" si="272"/>
      </c>
      <c r="DF105" s="2">
        <f t="shared" si="206"/>
      </c>
      <c r="DG105" s="129">
        <f t="shared" si="207"/>
      </c>
      <c r="DH105" s="2">
        <f t="shared" si="208"/>
      </c>
      <c r="DI105" s="2">
        <f t="shared" si="273"/>
      </c>
      <c r="DJ105" s="129">
        <f t="shared" si="274"/>
      </c>
      <c r="DK105" s="2">
        <f t="shared" si="209"/>
      </c>
      <c r="DL105" s="2">
        <f t="shared" si="275"/>
      </c>
      <c r="DM105" s="129">
        <f t="shared" si="276"/>
      </c>
      <c r="DN105" s="2">
        <f t="shared" si="210"/>
      </c>
      <c r="DO105" s="2">
        <f t="shared" si="211"/>
      </c>
      <c r="DP105" s="129">
        <f t="shared" si="277"/>
      </c>
      <c r="DQ105" s="2">
        <f t="shared" si="212"/>
      </c>
      <c r="DR105" s="2">
        <f t="shared" si="213"/>
      </c>
      <c r="DS105" s="129">
        <f t="shared" si="278"/>
      </c>
      <c r="DT105" s="2">
        <f t="shared" si="214"/>
      </c>
      <c r="DU105" s="2">
        <f t="shared" si="215"/>
      </c>
      <c r="DV105" s="129">
        <f t="shared" si="279"/>
      </c>
      <c r="DW105" s="2">
        <f t="shared" si="280"/>
      </c>
      <c r="DX105" s="2">
        <f t="shared" si="281"/>
      </c>
      <c r="DY105" s="129">
        <f t="shared" si="282"/>
      </c>
      <c r="DZ105" s="129"/>
      <c r="EA105" s="21">
        <f t="shared" si="283"/>
      </c>
      <c r="EB105" s="382">
        <f t="shared" si="284"/>
        <v>401769</v>
      </c>
      <c r="EC105" s="382">
        <f t="shared" si="285"/>
        <v>401769</v>
      </c>
      <c r="ED105" s="2">
        <f t="shared" si="286"/>
      </c>
      <c r="EE105" s="382">
        <f t="shared" si="287"/>
        <v>401769</v>
      </c>
      <c r="EF105" s="382">
        <f t="shared" si="288"/>
      </c>
      <c r="EG105" s="382">
        <f t="shared" si="289"/>
      </c>
      <c r="EH105" s="382"/>
      <c r="EI105" s="382">
        <f t="shared" si="290"/>
      </c>
      <c r="EJ105" s="208">
        <f t="shared" si="291"/>
        <v>401769</v>
      </c>
      <c r="EK105" s="2">
        <f t="shared" si="292"/>
      </c>
      <c r="EL105" s="2">
        <f t="shared" si="216"/>
      </c>
      <c r="EM105" s="34"/>
      <c r="EN105" s="7">
        <f t="shared" si="217"/>
        <v>1</v>
      </c>
      <c r="EO105" s="124">
        <f t="shared" si="218"/>
        <v>0</v>
      </c>
      <c r="EP105" s="214" t="str">
        <f t="shared" si="219"/>
        <v>●</v>
      </c>
      <c r="EQ105" s="213" t="str">
        <f t="shared" si="220"/>
        <v>●</v>
      </c>
      <c r="ER105" s="213" t="e">
        <f t="shared" si="221"/>
        <v>#VALUE!</v>
      </c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2"/>
      <c r="FD105" s="20"/>
      <c r="FE105" s="20">
        <f t="shared" si="293"/>
        <v>180</v>
      </c>
      <c r="FF105" s="2">
        <f t="shared" si="294"/>
        <v>1</v>
      </c>
      <c r="FG105" s="2">
        <f t="shared" si="295"/>
        <v>1</v>
      </c>
      <c r="FH105" s="2">
        <f t="shared" si="296"/>
        <v>1</v>
      </c>
      <c r="FI105" s="2">
        <f t="shared" si="297"/>
        <v>1</v>
      </c>
      <c r="FJ105" s="20"/>
      <c r="FK105" s="326">
        <f t="shared" si="298"/>
        <v>0</v>
      </c>
      <c r="FL105" s="326">
        <f t="shared" si="299"/>
        <v>0</v>
      </c>
      <c r="FM105" s="326">
        <f t="shared" si="300"/>
        <v>0</v>
      </c>
      <c r="FN105" s="326">
        <f t="shared" si="301"/>
        <v>0</v>
      </c>
      <c r="FP105" s="326"/>
      <c r="FQ105" s="326"/>
      <c r="FR105" s="326"/>
      <c r="FS105" s="326"/>
      <c r="GF105" s="2">
        <v>65</v>
      </c>
      <c r="GG105" s="2">
        <f t="shared" si="302"/>
        <v>1</v>
      </c>
      <c r="GH105" s="2">
        <f t="shared" si="303"/>
      </c>
      <c r="GI105" s="20">
        <f t="shared" si="304"/>
      </c>
      <c r="GJ105" s="20"/>
      <c r="GK105" s="20">
        <f t="shared" si="305"/>
      </c>
    </row>
    <row r="106" spans="1:193" s="29" customFormat="1" ht="15.75" customHeight="1" hidden="1" thickBot="1" thickTop="1">
      <c r="A106" s="144"/>
      <c r="B106" s="150">
        <f t="shared" si="306"/>
        <v>181</v>
      </c>
      <c r="C106" s="26">
        <f t="shared" si="222"/>
        <v>20921231</v>
      </c>
      <c r="D106" s="26" t="str">
        <f t="shared" si="223"/>
        <v>2092</v>
      </c>
      <c r="E106" s="26" t="str">
        <f t="shared" si="224"/>
        <v>12</v>
      </c>
      <c r="F106" s="26" t="str">
        <f t="shared" si="225"/>
        <v>31</v>
      </c>
      <c r="G106" s="26" t="str">
        <f t="shared" si="226"/>
        <v>2092/12/31</v>
      </c>
      <c r="H106" s="117">
        <f t="shared" si="188"/>
        <v>99</v>
      </c>
      <c r="I106" s="117">
        <f t="shared" si="227"/>
        <v>0</v>
      </c>
      <c r="J106" s="26">
        <f t="shared" si="310"/>
        <v>18</v>
      </c>
      <c r="K106" s="118">
        <f t="shared" si="189"/>
        <v>99</v>
      </c>
      <c r="L106" s="118">
        <f t="shared" si="190"/>
        <v>0</v>
      </c>
      <c r="M106" s="118">
        <f t="shared" si="191"/>
        <v>18</v>
      </c>
      <c r="N106" s="609" t="str">
        <f t="shared" si="228"/>
        <v>181.1.1~181.12.31</v>
      </c>
      <c r="O106" s="610"/>
      <c r="P106" s="610"/>
      <c r="Q106" s="611"/>
      <c r="R106" s="292" t="str">
        <f t="shared" si="307"/>
        <v>65</v>
      </c>
      <c r="S106" s="338">
        <f t="shared" si="229"/>
        <v>119</v>
      </c>
      <c r="T106" s="339">
        <f t="shared" si="230"/>
        <v>99</v>
      </c>
      <c r="U106" s="204">
        <f t="shared" si="231"/>
        <v>218</v>
      </c>
      <c r="V106" s="149"/>
      <c r="W106" s="613">
        <f t="shared" si="176"/>
      </c>
      <c r="X106" s="614"/>
      <c r="Y106" s="614"/>
      <c r="Z106" s="615"/>
      <c r="AA106" s="262">
        <f t="shared" si="232"/>
      </c>
      <c r="AB106" s="318">
        <f t="shared" si="233"/>
      </c>
      <c r="AC106" s="318">
        <f t="shared" si="234"/>
      </c>
      <c r="AD106" s="220">
        <f t="shared" si="235"/>
      </c>
      <c r="AE106" s="262">
        <f t="shared" si="236"/>
      </c>
      <c r="AF106" s="231">
        <f t="shared" si="237"/>
      </c>
      <c r="AG106" s="310">
        <f t="shared" si="238"/>
      </c>
      <c r="AH106" s="227">
        <f t="shared" si="239"/>
      </c>
      <c r="AI106" s="320">
        <f t="shared" si="240"/>
      </c>
      <c r="AJ106" s="320">
        <f t="shared" si="241"/>
      </c>
      <c r="AK106" s="320">
        <f t="shared" si="242"/>
      </c>
      <c r="AL106" s="320">
        <f t="shared" si="243"/>
      </c>
      <c r="AM106" s="282">
        <f t="shared" si="244"/>
      </c>
      <c r="AN106" s="103"/>
      <c r="AO106" s="119">
        <f t="shared" si="192"/>
        <v>0</v>
      </c>
      <c r="AP106" s="119">
        <f t="shared" si="245"/>
        <v>1</v>
      </c>
      <c r="AQ106" s="119">
        <f t="shared" si="246"/>
        <v>1</v>
      </c>
      <c r="AR106" s="119">
        <f>IF(OR(AO106+AP106+AQ106+GG106&gt;0,SUM($AO$30:AQ105)+GG105&gt;0),1,0)</f>
        <v>1</v>
      </c>
      <c r="AS106" s="119">
        <f t="shared" si="193"/>
      </c>
      <c r="AT106" s="119" t="str">
        <f t="shared" si="247"/>
        <v>符合「年齡滿65歲、年資滿15年」之屆齡退休擇領月退休金條件</v>
      </c>
      <c r="AU106" s="119">
        <f t="shared" si="248"/>
      </c>
      <c r="AV106" s="380" t="str">
        <f t="shared" si="249"/>
        <v>符合「年齡滿65歲、年資滿15年」之屆齡退休擇領月退休金條件</v>
      </c>
      <c r="AW106" s="120">
        <f t="shared" si="194"/>
        <v>0</v>
      </c>
      <c r="AX106" s="120">
        <f t="shared" si="195"/>
        <v>1</v>
      </c>
      <c r="AY106" s="120" t="str">
        <f t="shared" si="174"/>
        <v>符合</v>
      </c>
      <c r="AZ106" s="120">
        <f t="shared" si="196"/>
        <v>119</v>
      </c>
      <c r="BA106" s="120">
        <f t="shared" si="197"/>
        <v>20921231</v>
      </c>
      <c r="BB106" s="120" t="str">
        <f t="shared" si="198"/>
        <v>181.1.1~181.12.31</v>
      </c>
      <c r="BC106" s="121">
        <f t="shared" si="250"/>
      </c>
      <c r="BD106" s="122">
        <f t="shared" si="251"/>
      </c>
      <c r="BE106" s="122"/>
      <c r="BF106" s="120"/>
      <c r="BG106" s="123">
        <f t="shared" si="252"/>
      </c>
      <c r="BH106" s="31">
        <f t="shared" si="253"/>
        <v>1</v>
      </c>
      <c r="BI106" s="7">
        <f t="shared" si="254"/>
        <v>1</v>
      </c>
      <c r="BJ106" s="7"/>
      <c r="BK106" s="124">
        <f t="shared" si="199"/>
        <v>0</v>
      </c>
      <c r="BL106" s="124">
        <f t="shared" si="255"/>
      </c>
      <c r="BM106" s="124">
        <f t="shared" si="256"/>
        <v>0</v>
      </c>
      <c r="BN106" s="124">
        <f t="shared" si="257"/>
      </c>
      <c r="BO106" s="124">
        <f t="shared" si="258"/>
        <v>0</v>
      </c>
      <c r="BP106" s="124">
        <f t="shared" si="200"/>
      </c>
      <c r="BQ106" s="33"/>
      <c r="BR106" s="33"/>
      <c r="BS106" s="33"/>
      <c r="BT106" s="33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4"/>
      <c r="CH106" s="34"/>
      <c r="CI106" s="34"/>
      <c r="CJ106" s="34"/>
      <c r="CK106" s="183">
        <f t="shared" si="201"/>
        <v>13</v>
      </c>
      <c r="CL106" s="7">
        <f t="shared" si="202"/>
        <v>12</v>
      </c>
      <c r="CM106" s="20">
        <f t="shared" si="203"/>
        <v>181</v>
      </c>
      <c r="CN106" s="382">
        <f t="shared" si="259"/>
        <v>70480</v>
      </c>
      <c r="CO106" s="185">
        <f t="shared" si="260"/>
        <v>12</v>
      </c>
      <c r="CP106" s="2">
        <f t="shared" si="261"/>
        <v>17</v>
      </c>
      <c r="CQ106" s="382">
        <f t="shared" si="262"/>
        <v>70476</v>
      </c>
      <c r="CR106" s="185">
        <f t="shared" si="308"/>
        <v>12</v>
      </c>
      <c r="CS106" s="2">
        <f t="shared" si="309"/>
        <v>13</v>
      </c>
      <c r="CT106" s="2" t="str">
        <f t="shared" si="263"/>
        <v>初任</v>
      </c>
      <c r="CU106" s="382">
        <f t="shared" si="264"/>
        <v>70476</v>
      </c>
      <c r="CV106" s="2">
        <f t="shared" si="265"/>
        <v>12</v>
      </c>
      <c r="CW106" s="2" t="str">
        <f t="shared" si="266"/>
        <v>生日</v>
      </c>
      <c r="CX106" s="382">
        <f t="shared" si="267"/>
        <v>70480</v>
      </c>
      <c r="CY106" s="2">
        <f t="shared" si="268"/>
        <v>12</v>
      </c>
      <c r="CZ106" s="2">
        <f t="shared" si="204"/>
        <v>0</v>
      </c>
      <c r="DA106" s="2">
        <f t="shared" si="269"/>
      </c>
      <c r="DB106" s="2">
        <f t="shared" si="205"/>
      </c>
      <c r="DC106" s="2">
        <f t="shared" si="270"/>
      </c>
      <c r="DD106" s="2">
        <f t="shared" si="271"/>
      </c>
      <c r="DE106" s="2">
        <f t="shared" si="272"/>
      </c>
      <c r="DF106" s="2">
        <f t="shared" si="206"/>
      </c>
      <c r="DG106" s="129">
        <f t="shared" si="207"/>
      </c>
      <c r="DH106" s="2">
        <f t="shared" si="208"/>
      </c>
      <c r="DI106" s="2">
        <f t="shared" si="273"/>
      </c>
      <c r="DJ106" s="129">
        <f t="shared" si="274"/>
      </c>
      <c r="DK106" s="2">
        <f t="shared" si="209"/>
      </c>
      <c r="DL106" s="2">
        <f t="shared" si="275"/>
      </c>
      <c r="DM106" s="129">
        <f t="shared" si="276"/>
      </c>
      <c r="DN106" s="2">
        <f t="shared" si="210"/>
      </c>
      <c r="DO106" s="2">
        <f t="shared" si="211"/>
      </c>
      <c r="DP106" s="129">
        <f t="shared" si="277"/>
      </c>
      <c r="DQ106" s="2">
        <f t="shared" si="212"/>
      </c>
      <c r="DR106" s="2">
        <f t="shared" si="213"/>
      </c>
      <c r="DS106" s="129">
        <f t="shared" si="278"/>
      </c>
      <c r="DT106" s="2">
        <f t="shared" si="214"/>
      </c>
      <c r="DU106" s="2">
        <f t="shared" si="215"/>
      </c>
      <c r="DV106" s="129">
        <f t="shared" si="279"/>
      </c>
      <c r="DW106" s="2">
        <f t="shared" si="280"/>
      </c>
      <c r="DX106" s="2">
        <f t="shared" si="281"/>
      </c>
      <c r="DY106" s="129">
        <f t="shared" si="282"/>
      </c>
      <c r="DZ106" s="129"/>
      <c r="EA106" s="21">
        <f t="shared" si="283"/>
      </c>
      <c r="EB106" s="382">
        <f t="shared" si="284"/>
        <v>401769</v>
      </c>
      <c r="EC106" s="382">
        <f t="shared" si="285"/>
        <v>401769</v>
      </c>
      <c r="ED106" s="2">
        <f t="shared" si="286"/>
      </c>
      <c r="EE106" s="382">
        <f t="shared" si="287"/>
        <v>401769</v>
      </c>
      <c r="EF106" s="382">
        <f t="shared" si="288"/>
      </c>
      <c r="EG106" s="382">
        <f t="shared" si="289"/>
      </c>
      <c r="EH106" s="382"/>
      <c r="EI106" s="382">
        <f t="shared" si="290"/>
      </c>
      <c r="EJ106" s="208">
        <f t="shared" si="291"/>
        <v>401769</v>
      </c>
      <c r="EK106" s="2">
        <f t="shared" si="292"/>
      </c>
      <c r="EL106" s="2">
        <f t="shared" si="216"/>
      </c>
      <c r="EM106" s="34"/>
      <c r="EN106" s="7">
        <f t="shared" si="217"/>
        <v>1</v>
      </c>
      <c r="EO106" s="124">
        <f t="shared" si="218"/>
        <v>0</v>
      </c>
      <c r="EP106" s="214" t="str">
        <f t="shared" si="219"/>
        <v>●</v>
      </c>
      <c r="EQ106" s="213" t="str">
        <f t="shared" si="220"/>
        <v>●</v>
      </c>
      <c r="ER106" s="213" t="e">
        <f t="shared" si="221"/>
        <v>#VALUE!</v>
      </c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2"/>
      <c r="FD106" s="20"/>
      <c r="FE106" s="20">
        <f t="shared" si="293"/>
        <v>181</v>
      </c>
      <c r="FF106" s="2">
        <f t="shared" si="294"/>
        <v>1</v>
      </c>
      <c r="FG106" s="2">
        <f t="shared" si="295"/>
        <v>1</v>
      </c>
      <c r="FH106" s="2">
        <f t="shared" si="296"/>
        <v>1</v>
      </c>
      <c r="FI106" s="2">
        <f t="shared" si="297"/>
        <v>1</v>
      </c>
      <c r="FJ106" s="20"/>
      <c r="FK106" s="326">
        <f t="shared" si="298"/>
        <v>0</v>
      </c>
      <c r="FL106" s="326">
        <f t="shared" si="299"/>
        <v>0</v>
      </c>
      <c r="FM106" s="326">
        <f t="shared" si="300"/>
        <v>0</v>
      </c>
      <c r="FN106" s="326">
        <f t="shared" si="301"/>
        <v>0</v>
      </c>
      <c r="FP106" s="326"/>
      <c r="FQ106" s="326"/>
      <c r="FR106" s="326"/>
      <c r="FS106" s="326"/>
      <c r="GF106" s="2">
        <v>65</v>
      </c>
      <c r="GG106" s="2">
        <f t="shared" si="302"/>
        <v>1</v>
      </c>
      <c r="GH106" s="2">
        <f t="shared" si="303"/>
      </c>
      <c r="GI106" s="20">
        <f t="shared" si="304"/>
      </c>
      <c r="GJ106" s="20"/>
      <c r="GK106" s="20">
        <f t="shared" si="305"/>
      </c>
    </row>
    <row r="107" spans="1:193" s="29" customFormat="1" ht="15.75" customHeight="1" hidden="1" thickBot="1" thickTop="1">
      <c r="A107" s="144"/>
      <c r="B107" s="150">
        <f t="shared" si="306"/>
        <v>182</v>
      </c>
      <c r="C107" s="26">
        <f t="shared" si="222"/>
        <v>20931231</v>
      </c>
      <c r="D107" s="26" t="str">
        <f t="shared" si="223"/>
        <v>2093</v>
      </c>
      <c r="E107" s="26" t="str">
        <f t="shared" si="224"/>
        <v>12</v>
      </c>
      <c r="F107" s="26" t="str">
        <f t="shared" si="225"/>
        <v>31</v>
      </c>
      <c r="G107" s="26" t="str">
        <f t="shared" si="226"/>
        <v>2093/12/31</v>
      </c>
      <c r="H107" s="117">
        <f t="shared" si="188"/>
        <v>100</v>
      </c>
      <c r="I107" s="117">
        <f t="shared" si="227"/>
        <v>0</v>
      </c>
      <c r="J107" s="26">
        <f t="shared" si="310"/>
        <v>18</v>
      </c>
      <c r="K107" s="118">
        <f t="shared" si="189"/>
        <v>100</v>
      </c>
      <c r="L107" s="118">
        <f t="shared" si="190"/>
        <v>0</v>
      </c>
      <c r="M107" s="118">
        <f t="shared" si="191"/>
        <v>18</v>
      </c>
      <c r="N107" s="609" t="str">
        <f t="shared" si="228"/>
        <v>182.1.1~182.12.31</v>
      </c>
      <c r="O107" s="610"/>
      <c r="P107" s="610"/>
      <c r="Q107" s="611"/>
      <c r="R107" s="292" t="str">
        <f t="shared" si="307"/>
        <v>65</v>
      </c>
      <c r="S107" s="338">
        <f t="shared" si="229"/>
        <v>120</v>
      </c>
      <c r="T107" s="339">
        <f t="shared" si="230"/>
        <v>100</v>
      </c>
      <c r="U107" s="204">
        <f t="shared" si="231"/>
        <v>220</v>
      </c>
      <c r="V107" s="149"/>
      <c r="W107" s="613">
        <f t="shared" si="176"/>
      </c>
      <c r="X107" s="614"/>
      <c r="Y107" s="614"/>
      <c r="Z107" s="615"/>
      <c r="AA107" s="262">
        <f t="shared" si="232"/>
      </c>
      <c r="AB107" s="318">
        <f t="shared" si="233"/>
      </c>
      <c r="AC107" s="318">
        <f t="shared" si="234"/>
      </c>
      <c r="AD107" s="220">
        <f t="shared" si="235"/>
      </c>
      <c r="AE107" s="262">
        <f t="shared" si="236"/>
      </c>
      <c r="AF107" s="231">
        <f t="shared" si="237"/>
      </c>
      <c r="AG107" s="310">
        <f t="shared" si="238"/>
      </c>
      <c r="AH107" s="227">
        <f t="shared" si="239"/>
      </c>
      <c r="AI107" s="320">
        <f t="shared" si="240"/>
      </c>
      <c r="AJ107" s="320">
        <f t="shared" si="241"/>
      </c>
      <c r="AK107" s="320">
        <f t="shared" si="242"/>
      </c>
      <c r="AL107" s="320">
        <f t="shared" si="243"/>
      </c>
      <c r="AM107" s="282">
        <f t="shared" si="244"/>
      </c>
      <c r="AN107" s="103"/>
      <c r="AO107" s="119">
        <f t="shared" si="192"/>
        <v>0</v>
      </c>
      <c r="AP107" s="119">
        <f t="shared" si="245"/>
        <v>1</v>
      </c>
      <c r="AQ107" s="119">
        <f t="shared" si="246"/>
        <v>1</v>
      </c>
      <c r="AR107" s="119">
        <f>IF(OR(AO107+AP107+AQ107+GG107&gt;0,SUM($AO$30:AQ106)+GG106&gt;0),1,0)</f>
        <v>1</v>
      </c>
      <c r="AS107" s="119">
        <f t="shared" si="193"/>
      </c>
      <c r="AT107" s="119" t="str">
        <f t="shared" si="247"/>
        <v>符合「年齡滿65歲、年資滿15年」之屆齡退休擇領月退休金條件</v>
      </c>
      <c r="AU107" s="119">
        <f t="shared" si="248"/>
      </c>
      <c r="AV107" s="380" t="str">
        <f t="shared" si="249"/>
        <v>符合「年齡滿65歲、年資滿15年」之屆齡退休擇領月退休金條件</v>
      </c>
      <c r="AW107" s="120">
        <f t="shared" si="194"/>
        <v>0</v>
      </c>
      <c r="AX107" s="120">
        <f t="shared" si="195"/>
        <v>1</v>
      </c>
      <c r="AY107" s="120" t="str">
        <f t="shared" si="174"/>
        <v>符合</v>
      </c>
      <c r="AZ107" s="120">
        <f t="shared" si="196"/>
        <v>120</v>
      </c>
      <c r="BA107" s="120">
        <f t="shared" si="197"/>
        <v>20931231</v>
      </c>
      <c r="BB107" s="120" t="str">
        <f t="shared" si="198"/>
        <v>182.1.1~182.12.31</v>
      </c>
      <c r="BC107" s="121">
        <f t="shared" si="250"/>
      </c>
      <c r="BD107" s="122">
        <f t="shared" si="251"/>
      </c>
      <c r="BE107" s="122"/>
      <c r="BF107" s="120"/>
      <c r="BG107" s="123">
        <f t="shared" si="252"/>
      </c>
      <c r="BH107" s="31">
        <f t="shared" si="253"/>
        <v>1</v>
      </c>
      <c r="BI107" s="7">
        <f t="shared" si="254"/>
        <v>1</v>
      </c>
      <c r="BJ107" s="7"/>
      <c r="BK107" s="124">
        <f t="shared" si="199"/>
        <v>0</v>
      </c>
      <c r="BL107" s="124">
        <f t="shared" si="255"/>
      </c>
      <c r="BM107" s="124">
        <f t="shared" si="256"/>
        <v>0</v>
      </c>
      <c r="BN107" s="124">
        <f t="shared" si="257"/>
      </c>
      <c r="BO107" s="124">
        <f t="shared" si="258"/>
        <v>0</v>
      </c>
      <c r="BP107" s="124">
        <f t="shared" si="200"/>
      </c>
      <c r="BQ107" s="33"/>
      <c r="BR107" s="33"/>
      <c r="BS107" s="33"/>
      <c r="BT107" s="33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4"/>
      <c r="CH107" s="34"/>
      <c r="CI107" s="34"/>
      <c r="CJ107" s="34"/>
      <c r="CK107" s="183">
        <f t="shared" si="201"/>
        <v>13</v>
      </c>
      <c r="CL107" s="7">
        <f t="shared" si="202"/>
        <v>12</v>
      </c>
      <c r="CM107" s="20">
        <f t="shared" si="203"/>
        <v>182</v>
      </c>
      <c r="CN107" s="382">
        <f t="shared" si="259"/>
        <v>70845</v>
      </c>
      <c r="CO107" s="185">
        <f t="shared" si="260"/>
        <v>12</v>
      </c>
      <c r="CP107" s="2">
        <f t="shared" si="261"/>
        <v>17</v>
      </c>
      <c r="CQ107" s="382">
        <f t="shared" si="262"/>
        <v>70841</v>
      </c>
      <c r="CR107" s="185">
        <f t="shared" si="308"/>
        <v>12</v>
      </c>
      <c r="CS107" s="2">
        <f t="shared" si="309"/>
        <v>13</v>
      </c>
      <c r="CT107" s="2" t="str">
        <f t="shared" si="263"/>
        <v>初任</v>
      </c>
      <c r="CU107" s="382">
        <f t="shared" si="264"/>
        <v>70841</v>
      </c>
      <c r="CV107" s="2">
        <f t="shared" si="265"/>
        <v>12</v>
      </c>
      <c r="CW107" s="2" t="str">
        <f t="shared" si="266"/>
        <v>生日</v>
      </c>
      <c r="CX107" s="382">
        <f t="shared" si="267"/>
        <v>70845</v>
      </c>
      <c r="CY107" s="2">
        <f t="shared" si="268"/>
        <v>12</v>
      </c>
      <c r="CZ107" s="2">
        <f t="shared" si="204"/>
        <v>0</v>
      </c>
      <c r="DA107" s="2">
        <f t="shared" si="269"/>
      </c>
      <c r="DB107" s="2">
        <f t="shared" si="205"/>
      </c>
      <c r="DC107" s="2">
        <f t="shared" si="270"/>
      </c>
      <c r="DD107" s="2">
        <f t="shared" si="271"/>
      </c>
      <c r="DE107" s="2">
        <f t="shared" si="272"/>
      </c>
      <c r="DF107" s="2">
        <f t="shared" si="206"/>
      </c>
      <c r="DG107" s="129">
        <f t="shared" si="207"/>
      </c>
      <c r="DH107" s="2">
        <f t="shared" si="208"/>
      </c>
      <c r="DI107" s="2">
        <f t="shared" si="273"/>
      </c>
      <c r="DJ107" s="129">
        <f t="shared" si="274"/>
      </c>
      <c r="DK107" s="2">
        <f t="shared" si="209"/>
      </c>
      <c r="DL107" s="2">
        <f t="shared" si="275"/>
      </c>
      <c r="DM107" s="129">
        <f t="shared" si="276"/>
      </c>
      <c r="DN107" s="2">
        <f t="shared" si="210"/>
      </c>
      <c r="DO107" s="2">
        <f t="shared" si="211"/>
      </c>
      <c r="DP107" s="129">
        <f t="shared" si="277"/>
      </c>
      <c r="DQ107" s="2">
        <f t="shared" si="212"/>
      </c>
      <c r="DR107" s="2">
        <f t="shared" si="213"/>
      </c>
      <c r="DS107" s="129">
        <f t="shared" si="278"/>
      </c>
      <c r="DT107" s="2">
        <f t="shared" si="214"/>
      </c>
      <c r="DU107" s="2">
        <f t="shared" si="215"/>
      </c>
      <c r="DV107" s="129">
        <f t="shared" si="279"/>
      </c>
      <c r="DW107" s="2">
        <f t="shared" si="280"/>
      </c>
      <c r="DX107" s="2">
        <f t="shared" si="281"/>
      </c>
      <c r="DY107" s="129">
        <f t="shared" si="282"/>
      </c>
      <c r="DZ107" s="129"/>
      <c r="EA107" s="21">
        <f t="shared" si="283"/>
      </c>
      <c r="EB107" s="382">
        <f t="shared" si="284"/>
        <v>401769</v>
      </c>
      <c r="EC107" s="382">
        <f t="shared" si="285"/>
        <v>401769</v>
      </c>
      <c r="ED107" s="2">
        <f t="shared" si="286"/>
      </c>
      <c r="EE107" s="382">
        <f t="shared" si="287"/>
        <v>401769</v>
      </c>
      <c r="EF107" s="382">
        <f t="shared" si="288"/>
      </c>
      <c r="EG107" s="382">
        <f t="shared" si="289"/>
      </c>
      <c r="EH107" s="382"/>
      <c r="EI107" s="382">
        <f t="shared" si="290"/>
      </c>
      <c r="EJ107" s="208">
        <f t="shared" si="291"/>
        <v>401769</v>
      </c>
      <c r="EK107" s="2">
        <f t="shared" si="292"/>
      </c>
      <c r="EL107" s="2">
        <f t="shared" si="216"/>
      </c>
      <c r="EM107" s="34"/>
      <c r="EN107" s="7">
        <f t="shared" si="217"/>
        <v>1</v>
      </c>
      <c r="EO107" s="124">
        <f t="shared" si="218"/>
        <v>0</v>
      </c>
      <c r="EP107" s="214" t="str">
        <f t="shared" si="219"/>
        <v>●</v>
      </c>
      <c r="EQ107" s="213" t="str">
        <f t="shared" si="220"/>
        <v>●</v>
      </c>
      <c r="ER107" s="213" t="e">
        <f t="shared" si="221"/>
        <v>#VALUE!</v>
      </c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2"/>
      <c r="FD107" s="20"/>
      <c r="FE107" s="20">
        <f t="shared" si="293"/>
        <v>182</v>
      </c>
      <c r="FF107" s="2">
        <f t="shared" si="294"/>
        <v>1</v>
      </c>
      <c r="FG107" s="2">
        <f t="shared" si="295"/>
        <v>1</v>
      </c>
      <c r="FH107" s="2">
        <f t="shared" si="296"/>
        <v>1</v>
      </c>
      <c r="FI107" s="2">
        <f t="shared" si="297"/>
        <v>1</v>
      </c>
      <c r="FJ107" s="20"/>
      <c r="FK107" s="326">
        <f t="shared" si="298"/>
        <v>0</v>
      </c>
      <c r="FL107" s="326">
        <f t="shared" si="299"/>
        <v>0</v>
      </c>
      <c r="FM107" s="326">
        <f t="shared" si="300"/>
        <v>0</v>
      </c>
      <c r="FN107" s="326">
        <f t="shared" si="301"/>
        <v>0</v>
      </c>
      <c r="FP107" s="326"/>
      <c r="FQ107" s="326"/>
      <c r="FR107" s="326"/>
      <c r="FS107" s="326"/>
      <c r="GF107" s="2">
        <v>65</v>
      </c>
      <c r="GG107" s="2">
        <f t="shared" si="302"/>
        <v>1</v>
      </c>
      <c r="GH107" s="2">
        <f t="shared" si="303"/>
      </c>
      <c r="GI107" s="20">
        <f t="shared" si="304"/>
      </c>
      <c r="GJ107" s="20"/>
      <c r="GK107" s="20">
        <f t="shared" si="305"/>
      </c>
    </row>
    <row r="108" spans="1:193" s="29" customFormat="1" ht="15.75" customHeight="1" hidden="1" thickBot="1" thickTop="1">
      <c r="A108" s="144"/>
      <c r="B108" s="150">
        <f t="shared" si="306"/>
        <v>183</v>
      </c>
      <c r="C108" s="26">
        <f t="shared" si="222"/>
        <v>20941231</v>
      </c>
      <c r="D108" s="26" t="str">
        <f t="shared" si="223"/>
        <v>2094</v>
      </c>
      <c r="E108" s="26" t="str">
        <f t="shared" si="224"/>
        <v>12</v>
      </c>
      <c r="F108" s="26" t="str">
        <f t="shared" si="225"/>
        <v>31</v>
      </c>
      <c r="G108" s="26" t="str">
        <f t="shared" si="226"/>
        <v>2094/12/31</v>
      </c>
      <c r="H108" s="117">
        <f t="shared" si="188"/>
        <v>101</v>
      </c>
      <c r="I108" s="117">
        <f t="shared" si="227"/>
        <v>0</v>
      </c>
      <c r="J108" s="26">
        <f t="shared" si="310"/>
        <v>18</v>
      </c>
      <c r="K108" s="118">
        <f t="shared" si="189"/>
        <v>101</v>
      </c>
      <c r="L108" s="118">
        <f t="shared" si="190"/>
        <v>0</v>
      </c>
      <c r="M108" s="118">
        <f t="shared" si="191"/>
        <v>18</v>
      </c>
      <c r="N108" s="609" t="str">
        <f t="shared" si="228"/>
        <v>183.1.1~183.12.31</v>
      </c>
      <c r="O108" s="610"/>
      <c r="P108" s="610"/>
      <c r="Q108" s="611"/>
      <c r="R108" s="292" t="str">
        <f t="shared" si="307"/>
        <v>65</v>
      </c>
      <c r="S108" s="338">
        <f t="shared" si="229"/>
        <v>121</v>
      </c>
      <c r="T108" s="339">
        <f t="shared" si="230"/>
        <v>101</v>
      </c>
      <c r="U108" s="204">
        <f t="shared" si="231"/>
        <v>222</v>
      </c>
      <c r="V108" s="149"/>
      <c r="W108" s="613">
        <f t="shared" si="176"/>
      </c>
      <c r="X108" s="614"/>
      <c r="Y108" s="614"/>
      <c r="Z108" s="615"/>
      <c r="AA108" s="262">
        <f t="shared" si="232"/>
      </c>
      <c r="AB108" s="318">
        <f t="shared" si="233"/>
      </c>
      <c r="AC108" s="318">
        <f t="shared" si="234"/>
      </c>
      <c r="AD108" s="220">
        <f t="shared" si="235"/>
      </c>
      <c r="AE108" s="262">
        <f t="shared" si="236"/>
      </c>
      <c r="AF108" s="231">
        <f t="shared" si="237"/>
      </c>
      <c r="AG108" s="310">
        <f t="shared" si="238"/>
      </c>
      <c r="AH108" s="227">
        <f t="shared" si="239"/>
      </c>
      <c r="AI108" s="320">
        <f t="shared" si="240"/>
      </c>
      <c r="AJ108" s="320">
        <f t="shared" si="241"/>
      </c>
      <c r="AK108" s="320">
        <f t="shared" si="242"/>
      </c>
      <c r="AL108" s="320">
        <f t="shared" si="243"/>
      </c>
      <c r="AM108" s="282">
        <f t="shared" si="244"/>
      </c>
      <c r="AN108" s="103"/>
      <c r="AO108" s="119">
        <f t="shared" si="192"/>
        <v>0</v>
      </c>
      <c r="AP108" s="119">
        <f t="shared" si="245"/>
        <v>1</v>
      </c>
      <c r="AQ108" s="119">
        <f t="shared" si="246"/>
        <v>1</v>
      </c>
      <c r="AR108" s="119">
        <f>IF(OR(AO108+AP108+AQ108+GG108&gt;0,SUM($AO$30:AQ107)+GG107&gt;0),1,0)</f>
        <v>1</v>
      </c>
      <c r="AS108" s="119">
        <f t="shared" si="193"/>
      </c>
      <c r="AT108" s="119" t="str">
        <f t="shared" si="247"/>
        <v>符合「年齡滿65歲、年資滿15年」之屆齡退休擇領月退休金條件</v>
      </c>
      <c r="AU108" s="119">
        <f t="shared" si="248"/>
      </c>
      <c r="AV108" s="380" t="str">
        <f t="shared" si="249"/>
        <v>符合「年齡滿65歲、年資滿15年」之屆齡退休擇領月退休金條件</v>
      </c>
      <c r="AW108" s="120">
        <f t="shared" si="194"/>
        <v>0</v>
      </c>
      <c r="AX108" s="120">
        <f t="shared" si="195"/>
        <v>1</v>
      </c>
      <c r="AY108" s="120" t="str">
        <f t="shared" si="174"/>
        <v>符合</v>
      </c>
      <c r="AZ108" s="120">
        <f t="shared" si="196"/>
        <v>121</v>
      </c>
      <c r="BA108" s="120">
        <f t="shared" si="197"/>
        <v>20941231</v>
      </c>
      <c r="BB108" s="120" t="str">
        <f t="shared" si="198"/>
        <v>183.1.1~183.12.31</v>
      </c>
      <c r="BC108" s="121">
        <f t="shared" si="250"/>
      </c>
      <c r="BD108" s="122">
        <f t="shared" si="251"/>
      </c>
      <c r="BE108" s="122"/>
      <c r="BF108" s="120"/>
      <c r="BG108" s="123">
        <f t="shared" si="252"/>
      </c>
      <c r="BH108" s="31">
        <f t="shared" si="253"/>
        <v>1</v>
      </c>
      <c r="BI108" s="7">
        <f t="shared" si="254"/>
        <v>1</v>
      </c>
      <c r="BJ108" s="7"/>
      <c r="BK108" s="124">
        <f t="shared" si="199"/>
        <v>0</v>
      </c>
      <c r="BL108" s="124">
        <f t="shared" si="255"/>
      </c>
      <c r="BM108" s="124">
        <f t="shared" si="256"/>
        <v>0</v>
      </c>
      <c r="BN108" s="124">
        <f t="shared" si="257"/>
      </c>
      <c r="BO108" s="124">
        <f t="shared" si="258"/>
        <v>0</v>
      </c>
      <c r="BP108" s="124">
        <f t="shared" si="200"/>
      </c>
      <c r="BQ108" s="33"/>
      <c r="BR108" s="33"/>
      <c r="BS108" s="33"/>
      <c r="BT108" s="33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4"/>
      <c r="CH108" s="34"/>
      <c r="CI108" s="34"/>
      <c r="CJ108" s="34"/>
      <c r="CK108" s="183">
        <f t="shared" si="201"/>
        <v>13</v>
      </c>
      <c r="CL108" s="7">
        <f t="shared" si="202"/>
        <v>12</v>
      </c>
      <c r="CM108" s="20">
        <f t="shared" si="203"/>
        <v>183</v>
      </c>
      <c r="CN108" s="382">
        <f t="shared" si="259"/>
        <v>71210</v>
      </c>
      <c r="CO108" s="185">
        <f t="shared" si="260"/>
        <v>12</v>
      </c>
      <c r="CP108" s="2">
        <f t="shared" si="261"/>
        <v>17</v>
      </c>
      <c r="CQ108" s="382">
        <f t="shared" si="262"/>
        <v>71206</v>
      </c>
      <c r="CR108" s="185">
        <f t="shared" si="308"/>
        <v>12</v>
      </c>
      <c r="CS108" s="2">
        <f t="shared" si="309"/>
        <v>13</v>
      </c>
      <c r="CT108" s="2" t="str">
        <f t="shared" si="263"/>
        <v>初任</v>
      </c>
      <c r="CU108" s="382">
        <f t="shared" si="264"/>
        <v>71206</v>
      </c>
      <c r="CV108" s="2">
        <f t="shared" si="265"/>
        <v>12</v>
      </c>
      <c r="CW108" s="2" t="str">
        <f t="shared" si="266"/>
        <v>生日</v>
      </c>
      <c r="CX108" s="382">
        <f t="shared" si="267"/>
        <v>71210</v>
      </c>
      <c r="CY108" s="2">
        <f t="shared" si="268"/>
        <v>12</v>
      </c>
      <c r="CZ108" s="2">
        <f t="shared" si="204"/>
        <v>0</v>
      </c>
      <c r="DA108" s="2">
        <f t="shared" si="269"/>
      </c>
      <c r="DB108" s="2">
        <f t="shared" si="205"/>
      </c>
      <c r="DC108" s="2">
        <f t="shared" si="270"/>
      </c>
      <c r="DD108" s="2">
        <f t="shared" si="271"/>
      </c>
      <c r="DE108" s="2">
        <f t="shared" si="272"/>
      </c>
      <c r="DF108" s="2">
        <f t="shared" si="206"/>
      </c>
      <c r="DG108" s="129">
        <f t="shared" si="207"/>
      </c>
      <c r="DH108" s="2">
        <f t="shared" si="208"/>
      </c>
      <c r="DI108" s="2">
        <f t="shared" si="273"/>
      </c>
      <c r="DJ108" s="129">
        <f t="shared" si="274"/>
      </c>
      <c r="DK108" s="2">
        <f t="shared" si="209"/>
      </c>
      <c r="DL108" s="2">
        <f t="shared" si="275"/>
      </c>
      <c r="DM108" s="129">
        <f t="shared" si="276"/>
      </c>
      <c r="DN108" s="2">
        <f t="shared" si="210"/>
      </c>
      <c r="DO108" s="2">
        <f t="shared" si="211"/>
      </c>
      <c r="DP108" s="129">
        <f t="shared" si="277"/>
      </c>
      <c r="DQ108" s="2">
        <f t="shared" si="212"/>
      </c>
      <c r="DR108" s="2">
        <f t="shared" si="213"/>
      </c>
      <c r="DS108" s="129">
        <f t="shared" si="278"/>
      </c>
      <c r="DT108" s="2">
        <f t="shared" si="214"/>
      </c>
      <c r="DU108" s="2">
        <f t="shared" si="215"/>
      </c>
      <c r="DV108" s="129">
        <f t="shared" si="279"/>
      </c>
      <c r="DW108" s="2">
        <f t="shared" si="280"/>
      </c>
      <c r="DX108" s="2">
        <f t="shared" si="281"/>
      </c>
      <c r="DY108" s="129">
        <f t="shared" si="282"/>
      </c>
      <c r="DZ108" s="129"/>
      <c r="EA108" s="21">
        <f t="shared" si="283"/>
      </c>
      <c r="EB108" s="382">
        <f t="shared" si="284"/>
        <v>401769</v>
      </c>
      <c r="EC108" s="382">
        <f t="shared" si="285"/>
        <v>401769</v>
      </c>
      <c r="ED108" s="2">
        <f t="shared" si="286"/>
      </c>
      <c r="EE108" s="382">
        <f t="shared" si="287"/>
        <v>401769</v>
      </c>
      <c r="EF108" s="382">
        <f t="shared" si="288"/>
      </c>
      <c r="EG108" s="382">
        <f t="shared" si="289"/>
      </c>
      <c r="EH108" s="382"/>
      <c r="EI108" s="382">
        <f t="shared" si="290"/>
      </c>
      <c r="EJ108" s="208">
        <f t="shared" si="291"/>
        <v>401769</v>
      </c>
      <c r="EK108" s="2">
        <f t="shared" si="292"/>
      </c>
      <c r="EL108" s="2">
        <f t="shared" si="216"/>
      </c>
      <c r="EM108" s="34"/>
      <c r="EN108" s="7">
        <f t="shared" si="217"/>
        <v>1</v>
      </c>
      <c r="EO108" s="124">
        <f t="shared" si="218"/>
        <v>0</v>
      </c>
      <c r="EP108" s="214" t="str">
        <f t="shared" si="219"/>
        <v>●</v>
      </c>
      <c r="EQ108" s="213" t="str">
        <f t="shared" si="220"/>
        <v>●</v>
      </c>
      <c r="ER108" s="213" t="e">
        <f t="shared" si="221"/>
        <v>#VALUE!</v>
      </c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2"/>
      <c r="FD108" s="20"/>
      <c r="FE108" s="20">
        <f t="shared" si="293"/>
        <v>183</v>
      </c>
      <c r="FF108" s="2">
        <f t="shared" si="294"/>
        <v>1</v>
      </c>
      <c r="FG108" s="2">
        <f t="shared" si="295"/>
        <v>1</v>
      </c>
      <c r="FH108" s="2">
        <f t="shared" si="296"/>
        <v>1</v>
      </c>
      <c r="FI108" s="2">
        <f t="shared" si="297"/>
        <v>1</v>
      </c>
      <c r="FJ108" s="20"/>
      <c r="FK108" s="326">
        <f t="shared" si="298"/>
        <v>0</v>
      </c>
      <c r="FL108" s="326">
        <f t="shared" si="299"/>
        <v>0</v>
      </c>
      <c r="FM108" s="326">
        <f t="shared" si="300"/>
        <v>0</v>
      </c>
      <c r="FN108" s="326">
        <f t="shared" si="301"/>
        <v>0</v>
      </c>
      <c r="FP108" s="326"/>
      <c r="FQ108" s="326"/>
      <c r="FR108" s="326"/>
      <c r="FS108" s="326"/>
      <c r="GF108" s="2">
        <v>65</v>
      </c>
      <c r="GG108" s="2">
        <f t="shared" si="302"/>
        <v>1</v>
      </c>
      <c r="GH108" s="2">
        <f t="shared" si="303"/>
      </c>
      <c r="GI108" s="20">
        <f t="shared" si="304"/>
      </c>
      <c r="GJ108" s="20"/>
      <c r="GK108" s="20">
        <f t="shared" si="305"/>
      </c>
    </row>
    <row r="109" spans="1:193" s="29" customFormat="1" ht="15.75" customHeight="1" hidden="1" thickBot="1" thickTop="1">
      <c r="A109" s="144"/>
      <c r="B109" s="150">
        <f t="shared" si="306"/>
        <v>184</v>
      </c>
      <c r="C109" s="26">
        <f t="shared" si="222"/>
        <v>20951231</v>
      </c>
      <c r="D109" s="26" t="str">
        <f t="shared" si="223"/>
        <v>2095</v>
      </c>
      <c r="E109" s="26" t="str">
        <f t="shared" si="224"/>
        <v>12</v>
      </c>
      <c r="F109" s="26" t="str">
        <f t="shared" si="225"/>
        <v>31</v>
      </c>
      <c r="G109" s="26" t="str">
        <f t="shared" si="226"/>
        <v>2095/12/31</v>
      </c>
      <c r="H109" s="117">
        <f t="shared" si="188"/>
        <v>102</v>
      </c>
      <c r="I109" s="117">
        <f t="shared" si="227"/>
        <v>0</v>
      </c>
      <c r="J109" s="26">
        <f t="shared" si="310"/>
        <v>18</v>
      </c>
      <c r="K109" s="118">
        <f t="shared" si="189"/>
        <v>102</v>
      </c>
      <c r="L109" s="118">
        <f t="shared" si="190"/>
        <v>0</v>
      </c>
      <c r="M109" s="118">
        <f t="shared" si="191"/>
        <v>18</v>
      </c>
      <c r="N109" s="609" t="str">
        <f t="shared" si="228"/>
        <v>184.1.1~184.12.31</v>
      </c>
      <c r="O109" s="610"/>
      <c r="P109" s="610"/>
      <c r="Q109" s="611"/>
      <c r="R109" s="292" t="str">
        <f t="shared" si="307"/>
        <v>65</v>
      </c>
      <c r="S109" s="338">
        <f t="shared" si="229"/>
        <v>122</v>
      </c>
      <c r="T109" s="339">
        <f t="shared" si="230"/>
        <v>102</v>
      </c>
      <c r="U109" s="204">
        <f t="shared" si="231"/>
        <v>224</v>
      </c>
      <c r="V109" s="149"/>
      <c r="W109" s="613">
        <f t="shared" si="176"/>
      </c>
      <c r="X109" s="614"/>
      <c r="Y109" s="614"/>
      <c r="Z109" s="615"/>
      <c r="AA109" s="262">
        <f t="shared" si="232"/>
      </c>
      <c r="AB109" s="318">
        <f t="shared" si="233"/>
      </c>
      <c r="AC109" s="318">
        <f t="shared" si="234"/>
      </c>
      <c r="AD109" s="220">
        <f t="shared" si="235"/>
      </c>
      <c r="AE109" s="262">
        <f t="shared" si="236"/>
      </c>
      <c r="AF109" s="231">
        <f t="shared" si="237"/>
      </c>
      <c r="AG109" s="310">
        <f t="shared" si="238"/>
      </c>
      <c r="AH109" s="227">
        <f t="shared" si="239"/>
      </c>
      <c r="AI109" s="320">
        <f t="shared" si="240"/>
      </c>
      <c r="AJ109" s="320">
        <f t="shared" si="241"/>
      </c>
      <c r="AK109" s="320">
        <f t="shared" si="242"/>
      </c>
      <c r="AL109" s="320">
        <f t="shared" si="243"/>
      </c>
      <c r="AM109" s="282">
        <f t="shared" si="244"/>
      </c>
      <c r="AN109" s="103"/>
      <c r="AO109" s="119">
        <f t="shared" si="192"/>
        <v>0</v>
      </c>
      <c r="AP109" s="119">
        <f t="shared" si="245"/>
        <v>1</v>
      </c>
      <c r="AQ109" s="119">
        <f t="shared" si="246"/>
        <v>1</v>
      </c>
      <c r="AR109" s="119">
        <f>IF(OR(AO109+AP109+AQ109+GG109&gt;0,SUM($AO$30:AQ108)+GG108&gt;0),1,0)</f>
        <v>1</v>
      </c>
      <c r="AS109" s="119">
        <f t="shared" si="193"/>
      </c>
      <c r="AT109" s="119" t="str">
        <f t="shared" si="247"/>
        <v>符合「年齡滿65歲、年資滿15年」之屆齡退休擇領月退休金條件</v>
      </c>
      <c r="AU109" s="119">
        <f t="shared" si="248"/>
      </c>
      <c r="AV109" s="380" t="str">
        <f t="shared" si="249"/>
        <v>符合「年齡滿65歲、年資滿15年」之屆齡退休擇領月退休金條件</v>
      </c>
      <c r="AW109" s="120">
        <f t="shared" si="194"/>
        <v>0</v>
      </c>
      <c r="AX109" s="120">
        <f t="shared" si="195"/>
        <v>1</v>
      </c>
      <c r="AY109" s="120" t="str">
        <f t="shared" si="174"/>
        <v>符合</v>
      </c>
      <c r="AZ109" s="120">
        <f t="shared" si="196"/>
        <v>122</v>
      </c>
      <c r="BA109" s="120">
        <f t="shared" si="197"/>
        <v>20951231</v>
      </c>
      <c r="BB109" s="120" t="str">
        <f t="shared" si="198"/>
        <v>184.1.1~184.12.31</v>
      </c>
      <c r="BC109" s="121">
        <f t="shared" si="250"/>
      </c>
      <c r="BD109" s="122">
        <f t="shared" si="251"/>
      </c>
      <c r="BE109" s="122"/>
      <c r="BF109" s="120"/>
      <c r="BG109" s="123">
        <f t="shared" si="252"/>
      </c>
      <c r="BH109" s="31">
        <f t="shared" si="253"/>
        <v>1</v>
      </c>
      <c r="BI109" s="7">
        <f t="shared" si="254"/>
        <v>1</v>
      </c>
      <c r="BJ109" s="7"/>
      <c r="BK109" s="124">
        <f t="shared" si="199"/>
        <v>0</v>
      </c>
      <c r="BL109" s="124">
        <f t="shared" si="255"/>
      </c>
      <c r="BM109" s="124">
        <f t="shared" si="256"/>
        <v>0</v>
      </c>
      <c r="BN109" s="124">
        <f t="shared" si="257"/>
      </c>
      <c r="BO109" s="124">
        <f t="shared" si="258"/>
        <v>0</v>
      </c>
      <c r="BP109" s="124">
        <f t="shared" si="200"/>
      </c>
      <c r="BQ109" s="33"/>
      <c r="BR109" s="33"/>
      <c r="BS109" s="33"/>
      <c r="BT109" s="33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4"/>
      <c r="CH109" s="34"/>
      <c r="CI109" s="34"/>
      <c r="CJ109" s="34"/>
      <c r="CK109" s="183">
        <f t="shared" si="201"/>
        <v>13</v>
      </c>
      <c r="CL109" s="7">
        <f t="shared" si="202"/>
        <v>12</v>
      </c>
      <c r="CM109" s="20">
        <f t="shared" si="203"/>
        <v>184</v>
      </c>
      <c r="CN109" s="382">
        <f t="shared" si="259"/>
        <v>71575</v>
      </c>
      <c r="CO109" s="185">
        <f t="shared" si="260"/>
        <v>12</v>
      </c>
      <c r="CP109" s="2">
        <f t="shared" si="261"/>
        <v>17</v>
      </c>
      <c r="CQ109" s="382">
        <f t="shared" si="262"/>
        <v>71571</v>
      </c>
      <c r="CR109" s="185">
        <f t="shared" si="308"/>
        <v>12</v>
      </c>
      <c r="CS109" s="2">
        <f t="shared" si="309"/>
        <v>13</v>
      </c>
      <c r="CT109" s="2" t="str">
        <f t="shared" si="263"/>
        <v>初任</v>
      </c>
      <c r="CU109" s="382">
        <f t="shared" si="264"/>
        <v>71571</v>
      </c>
      <c r="CV109" s="2">
        <f t="shared" si="265"/>
        <v>12</v>
      </c>
      <c r="CW109" s="2" t="str">
        <f t="shared" si="266"/>
        <v>生日</v>
      </c>
      <c r="CX109" s="382">
        <f t="shared" si="267"/>
        <v>71575</v>
      </c>
      <c r="CY109" s="2">
        <f t="shared" si="268"/>
        <v>12</v>
      </c>
      <c r="CZ109" s="2">
        <f t="shared" si="204"/>
        <v>0</v>
      </c>
      <c r="DA109" s="2">
        <f t="shared" si="269"/>
      </c>
      <c r="DB109" s="2">
        <f t="shared" si="205"/>
      </c>
      <c r="DC109" s="2">
        <f t="shared" si="270"/>
      </c>
      <c r="DD109" s="2">
        <f t="shared" si="271"/>
      </c>
      <c r="DE109" s="2">
        <f t="shared" si="272"/>
      </c>
      <c r="DF109" s="2">
        <f t="shared" si="206"/>
      </c>
      <c r="DG109" s="129">
        <f t="shared" si="207"/>
      </c>
      <c r="DH109" s="2">
        <f t="shared" si="208"/>
      </c>
      <c r="DI109" s="2">
        <f t="shared" si="273"/>
      </c>
      <c r="DJ109" s="129">
        <f t="shared" si="274"/>
      </c>
      <c r="DK109" s="2">
        <f t="shared" si="209"/>
      </c>
      <c r="DL109" s="2">
        <f t="shared" si="275"/>
      </c>
      <c r="DM109" s="129">
        <f t="shared" si="276"/>
      </c>
      <c r="DN109" s="2">
        <f t="shared" si="210"/>
      </c>
      <c r="DO109" s="2">
        <f t="shared" si="211"/>
      </c>
      <c r="DP109" s="129">
        <f t="shared" si="277"/>
      </c>
      <c r="DQ109" s="2">
        <f t="shared" si="212"/>
      </c>
      <c r="DR109" s="2">
        <f t="shared" si="213"/>
      </c>
      <c r="DS109" s="129">
        <f t="shared" si="278"/>
      </c>
      <c r="DT109" s="2">
        <f t="shared" si="214"/>
      </c>
      <c r="DU109" s="2">
        <f t="shared" si="215"/>
      </c>
      <c r="DV109" s="129">
        <f t="shared" si="279"/>
      </c>
      <c r="DW109" s="2">
        <f t="shared" si="280"/>
      </c>
      <c r="DX109" s="2">
        <f t="shared" si="281"/>
      </c>
      <c r="DY109" s="129">
        <f t="shared" si="282"/>
      </c>
      <c r="DZ109" s="129"/>
      <c r="EA109" s="21">
        <f t="shared" si="283"/>
      </c>
      <c r="EB109" s="382">
        <f t="shared" si="284"/>
        <v>401769</v>
      </c>
      <c r="EC109" s="382">
        <f t="shared" si="285"/>
        <v>401769</v>
      </c>
      <c r="ED109" s="2">
        <f t="shared" si="286"/>
      </c>
      <c r="EE109" s="382">
        <f t="shared" si="287"/>
        <v>401769</v>
      </c>
      <c r="EF109" s="382">
        <f t="shared" si="288"/>
      </c>
      <c r="EG109" s="382">
        <f t="shared" si="289"/>
      </c>
      <c r="EH109" s="382"/>
      <c r="EI109" s="382">
        <f t="shared" si="290"/>
      </c>
      <c r="EJ109" s="208">
        <f t="shared" si="291"/>
        <v>401769</v>
      </c>
      <c r="EK109" s="2">
        <f t="shared" si="292"/>
      </c>
      <c r="EL109" s="2">
        <f t="shared" si="216"/>
      </c>
      <c r="EM109" s="34"/>
      <c r="EN109" s="7">
        <f t="shared" si="217"/>
        <v>1</v>
      </c>
      <c r="EO109" s="124">
        <f t="shared" si="218"/>
        <v>0</v>
      </c>
      <c r="EP109" s="214" t="str">
        <f t="shared" si="219"/>
        <v>●</v>
      </c>
      <c r="EQ109" s="213" t="str">
        <f t="shared" si="220"/>
        <v>●</v>
      </c>
      <c r="ER109" s="213" t="e">
        <f t="shared" si="221"/>
        <v>#VALUE!</v>
      </c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2"/>
      <c r="FD109" s="20"/>
      <c r="FE109" s="20">
        <f t="shared" si="293"/>
        <v>184</v>
      </c>
      <c r="FF109" s="2">
        <f t="shared" si="294"/>
        <v>1</v>
      </c>
      <c r="FG109" s="2">
        <f t="shared" si="295"/>
        <v>1</v>
      </c>
      <c r="FH109" s="2">
        <f t="shared" si="296"/>
        <v>1</v>
      </c>
      <c r="FI109" s="2">
        <f t="shared" si="297"/>
        <v>1</v>
      </c>
      <c r="FJ109" s="20"/>
      <c r="FK109" s="326">
        <f t="shared" si="298"/>
        <v>0</v>
      </c>
      <c r="FL109" s="326">
        <f t="shared" si="299"/>
        <v>0</v>
      </c>
      <c r="FM109" s="326">
        <f t="shared" si="300"/>
        <v>0</v>
      </c>
      <c r="FN109" s="326">
        <f t="shared" si="301"/>
        <v>0</v>
      </c>
      <c r="FP109" s="326"/>
      <c r="FQ109" s="326"/>
      <c r="FR109" s="326"/>
      <c r="FS109" s="326"/>
      <c r="GF109" s="2">
        <v>65</v>
      </c>
      <c r="GG109" s="2">
        <f t="shared" si="302"/>
        <v>1</v>
      </c>
      <c r="GH109" s="2">
        <f t="shared" si="303"/>
      </c>
      <c r="GI109" s="20">
        <f t="shared" si="304"/>
      </c>
      <c r="GJ109" s="20"/>
      <c r="GK109" s="20">
        <f t="shared" si="305"/>
      </c>
    </row>
    <row r="110" spans="1:193" s="29" customFormat="1" ht="15.75" customHeight="1" hidden="1" thickBot="1" thickTop="1">
      <c r="A110" s="144"/>
      <c r="B110" s="150">
        <f t="shared" si="306"/>
        <v>185</v>
      </c>
      <c r="C110" s="26">
        <f t="shared" si="222"/>
        <v>20961231</v>
      </c>
      <c r="D110" s="26" t="str">
        <f t="shared" si="223"/>
        <v>2096</v>
      </c>
      <c r="E110" s="26" t="str">
        <f t="shared" si="224"/>
        <v>12</v>
      </c>
      <c r="F110" s="26" t="str">
        <f t="shared" si="225"/>
        <v>31</v>
      </c>
      <c r="G110" s="26" t="str">
        <f t="shared" si="226"/>
        <v>2096/12/31</v>
      </c>
      <c r="H110" s="117">
        <f t="shared" si="188"/>
        <v>103</v>
      </c>
      <c r="I110" s="117">
        <f t="shared" si="227"/>
        <v>0</v>
      </c>
      <c r="J110" s="26">
        <f t="shared" si="310"/>
        <v>18</v>
      </c>
      <c r="K110" s="118">
        <f t="shared" si="189"/>
        <v>103</v>
      </c>
      <c r="L110" s="118">
        <f t="shared" si="190"/>
        <v>0</v>
      </c>
      <c r="M110" s="118">
        <f t="shared" si="191"/>
        <v>18</v>
      </c>
      <c r="N110" s="609" t="str">
        <f t="shared" si="228"/>
        <v>185.1.1~185.12.31</v>
      </c>
      <c r="O110" s="610"/>
      <c r="P110" s="610"/>
      <c r="Q110" s="611"/>
      <c r="R110" s="292" t="str">
        <f t="shared" si="307"/>
        <v>65</v>
      </c>
      <c r="S110" s="338">
        <f t="shared" si="229"/>
        <v>123</v>
      </c>
      <c r="T110" s="339">
        <f t="shared" si="230"/>
        <v>103</v>
      </c>
      <c r="U110" s="204">
        <f t="shared" si="231"/>
        <v>226</v>
      </c>
      <c r="V110" s="149"/>
      <c r="W110" s="613">
        <f t="shared" si="176"/>
      </c>
      <c r="X110" s="614"/>
      <c r="Y110" s="614"/>
      <c r="Z110" s="615"/>
      <c r="AA110" s="262">
        <f t="shared" si="232"/>
      </c>
      <c r="AB110" s="318">
        <f t="shared" si="233"/>
      </c>
      <c r="AC110" s="318">
        <f t="shared" si="234"/>
      </c>
      <c r="AD110" s="220">
        <f t="shared" si="235"/>
      </c>
      <c r="AE110" s="262">
        <f t="shared" si="236"/>
      </c>
      <c r="AF110" s="231">
        <f t="shared" si="237"/>
      </c>
      <c r="AG110" s="310">
        <f t="shared" si="238"/>
      </c>
      <c r="AH110" s="227">
        <f t="shared" si="239"/>
      </c>
      <c r="AI110" s="320">
        <f t="shared" si="240"/>
      </c>
      <c r="AJ110" s="320">
        <f t="shared" si="241"/>
      </c>
      <c r="AK110" s="320">
        <f t="shared" si="242"/>
      </c>
      <c r="AL110" s="320">
        <f t="shared" si="243"/>
      </c>
      <c r="AM110" s="282">
        <f t="shared" si="244"/>
      </c>
      <c r="AN110" s="103"/>
      <c r="AO110" s="119">
        <f t="shared" si="192"/>
        <v>0</v>
      </c>
      <c r="AP110" s="119">
        <f t="shared" si="245"/>
        <v>1</v>
      </c>
      <c r="AQ110" s="119">
        <f t="shared" si="246"/>
        <v>1</v>
      </c>
      <c r="AR110" s="119">
        <f>IF(OR(AO110+AP110+AQ110+GG110&gt;0,SUM($AO$30:AQ109)+GG109&gt;0),1,0)</f>
        <v>1</v>
      </c>
      <c r="AS110" s="119">
        <f t="shared" si="193"/>
      </c>
      <c r="AT110" s="119" t="str">
        <f t="shared" si="247"/>
        <v>符合「年齡滿65歲、年資滿15年」之屆齡退休擇領月退休金條件</v>
      </c>
      <c r="AU110" s="119">
        <f t="shared" si="248"/>
      </c>
      <c r="AV110" s="380" t="str">
        <f t="shared" si="249"/>
        <v>符合「年齡滿65歲、年資滿15年」之屆齡退休擇領月退休金條件</v>
      </c>
      <c r="AW110" s="120">
        <f t="shared" si="194"/>
        <v>0</v>
      </c>
      <c r="AX110" s="120">
        <f t="shared" si="195"/>
        <v>1</v>
      </c>
      <c r="AY110" s="120" t="str">
        <f t="shared" si="174"/>
        <v>符合</v>
      </c>
      <c r="AZ110" s="120">
        <f t="shared" si="196"/>
        <v>123</v>
      </c>
      <c r="BA110" s="120">
        <f t="shared" si="197"/>
        <v>20961231</v>
      </c>
      <c r="BB110" s="120" t="str">
        <f t="shared" si="198"/>
        <v>185.1.1~185.12.31</v>
      </c>
      <c r="BC110" s="121">
        <f t="shared" si="250"/>
      </c>
      <c r="BD110" s="122">
        <f t="shared" si="251"/>
      </c>
      <c r="BE110" s="122"/>
      <c r="BF110" s="120"/>
      <c r="BG110" s="123">
        <f t="shared" si="252"/>
      </c>
      <c r="BH110" s="31">
        <f t="shared" si="253"/>
        <v>1</v>
      </c>
      <c r="BI110" s="7">
        <f t="shared" si="254"/>
        <v>1</v>
      </c>
      <c r="BJ110" s="7"/>
      <c r="BK110" s="124">
        <f t="shared" si="199"/>
        <v>0</v>
      </c>
      <c r="BL110" s="124">
        <f t="shared" si="255"/>
      </c>
      <c r="BM110" s="124">
        <f t="shared" si="256"/>
        <v>0</v>
      </c>
      <c r="BN110" s="124">
        <f t="shared" si="257"/>
      </c>
      <c r="BO110" s="124">
        <f t="shared" si="258"/>
        <v>0</v>
      </c>
      <c r="BP110" s="124">
        <f t="shared" si="200"/>
      </c>
      <c r="BQ110" s="33"/>
      <c r="BR110" s="33"/>
      <c r="BS110" s="33"/>
      <c r="BT110" s="33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4"/>
      <c r="CH110" s="34"/>
      <c r="CI110" s="34"/>
      <c r="CJ110" s="34"/>
      <c r="CK110" s="183">
        <f t="shared" si="201"/>
        <v>13</v>
      </c>
      <c r="CL110" s="7">
        <f t="shared" si="202"/>
        <v>12</v>
      </c>
      <c r="CM110" s="20">
        <f t="shared" si="203"/>
        <v>185</v>
      </c>
      <c r="CN110" s="382">
        <f t="shared" si="259"/>
        <v>71941</v>
      </c>
      <c r="CO110" s="185">
        <f t="shared" si="260"/>
        <v>12</v>
      </c>
      <c r="CP110" s="2">
        <f t="shared" si="261"/>
        <v>17</v>
      </c>
      <c r="CQ110" s="382">
        <f t="shared" si="262"/>
        <v>71937</v>
      </c>
      <c r="CR110" s="185">
        <f t="shared" si="308"/>
        <v>12</v>
      </c>
      <c r="CS110" s="2">
        <f t="shared" si="309"/>
        <v>13</v>
      </c>
      <c r="CT110" s="2" t="str">
        <f t="shared" si="263"/>
        <v>初任</v>
      </c>
      <c r="CU110" s="382">
        <f t="shared" si="264"/>
        <v>71937</v>
      </c>
      <c r="CV110" s="2">
        <f t="shared" si="265"/>
        <v>12</v>
      </c>
      <c r="CW110" s="2" t="str">
        <f t="shared" si="266"/>
        <v>生日</v>
      </c>
      <c r="CX110" s="382">
        <f t="shared" si="267"/>
        <v>71941</v>
      </c>
      <c r="CY110" s="2">
        <f t="shared" si="268"/>
        <v>12</v>
      </c>
      <c r="CZ110" s="2">
        <f t="shared" si="204"/>
        <v>0</v>
      </c>
      <c r="DA110" s="2">
        <f t="shared" si="269"/>
      </c>
      <c r="DB110" s="2">
        <f t="shared" si="205"/>
      </c>
      <c r="DC110" s="2">
        <f t="shared" si="270"/>
      </c>
      <c r="DD110" s="2">
        <f t="shared" si="271"/>
      </c>
      <c r="DE110" s="2">
        <f t="shared" si="272"/>
      </c>
      <c r="DF110" s="2">
        <f t="shared" si="206"/>
      </c>
      <c r="DG110" s="129">
        <f t="shared" si="207"/>
      </c>
      <c r="DH110" s="2">
        <f t="shared" si="208"/>
      </c>
      <c r="DI110" s="2">
        <f t="shared" si="273"/>
      </c>
      <c r="DJ110" s="129">
        <f t="shared" si="274"/>
      </c>
      <c r="DK110" s="2">
        <f t="shared" si="209"/>
      </c>
      <c r="DL110" s="2">
        <f t="shared" si="275"/>
      </c>
      <c r="DM110" s="129">
        <f t="shared" si="276"/>
      </c>
      <c r="DN110" s="2">
        <f t="shared" si="210"/>
      </c>
      <c r="DO110" s="2">
        <f t="shared" si="211"/>
      </c>
      <c r="DP110" s="129">
        <f t="shared" si="277"/>
      </c>
      <c r="DQ110" s="2">
        <f t="shared" si="212"/>
      </c>
      <c r="DR110" s="2">
        <f t="shared" si="213"/>
      </c>
      <c r="DS110" s="129">
        <f t="shared" si="278"/>
      </c>
      <c r="DT110" s="2">
        <f t="shared" si="214"/>
      </c>
      <c r="DU110" s="2">
        <f t="shared" si="215"/>
      </c>
      <c r="DV110" s="129">
        <f t="shared" si="279"/>
      </c>
      <c r="DW110" s="2">
        <f t="shared" si="280"/>
      </c>
      <c r="DX110" s="2">
        <f t="shared" si="281"/>
      </c>
      <c r="DY110" s="129">
        <f t="shared" si="282"/>
      </c>
      <c r="DZ110" s="129"/>
      <c r="EA110" s="21">
        <f t="shared" si="283"/>
      </c>
      <c r="EB110" s="382">
        <f t="shared" si="284"/>
        <v>401769</v>
      </c>
      <c r="EC110" s="382">
        <f t="shared" si="285"/>
        <v>401769</v>
      </c>
      <c r="ED110" s="2">
        <f t="shared" si="286"/>
      </c>
      <c r="EE110" s="382">
        <f t="shared" si="287"/>
        <v>401769</v>
      </c>
      <c r="EF110" s="382">
        <f t="shared" si="288"/>
      </c>
      <c r="EG110" s="382">
        <f t="shared" si="289"/>
      </c>
      <c r="EH110" s="382"/>
      <c r="EI110" s="382">
        <f t="shared" si="290"/>
      </c>
      <c r="EJ110" s="208">
        <f t="shared" si="291"/>
        <v>401769</v>
      </c>
      <c r="EK110" s="2">
        <f t="shared" si="292"/>
      </c>
      <c r="EL110" s="2">
        <f t="shared" si="216"/>
      </c>
      <c r="EM110" s="34"/>
      <c r="EN110" s="7">
        <f t="shared" si="217"/>
        <v>1</v>
      </c>
      <c r="EO110" s="124">
        <f t="shared" si="218"/>
        <v>0</v>
      </c>
      <c r="EP110" s="214" t="str">
        <f t="shared" si="219"/>
        <v>●</v>
      </c>
      <c r="EQ110" s="213" t="str">
        <f t="shared" si="220"/>
        <v>●</v>
      </c>
      <c r="ER110" s="213" t="e">
        <f t="shared" si="221"/>
        <v>#VALUE!</v>
      </c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2"/>
      <c r="FD110" s="20"/>
      <c r="FE110" s="20">
        <f t="shared" si="293"/>
        <v>185</v>
      </c>
      <c r="FF110" s="2">
        <f t="shared" si="294"/>
        <v>1</v>
      </c>
      <c r="FG110" s="2">
        <f t="shared" si="295"/>
        <v>1</v>
      </c>
      <c r="FH110" s="2">
        <f t="shared" si="296"/>
        <v>1</v>
      </c>
      <c r="FI110" s="2">
        <f t="shared" si="297"/>
        <v>1</v>
      </c>
      <c r="FJ110" s="20"/>
      <c r="FK110" s="326">
        <f t="shared" si="298"/>
        <v>0</v>
      </c>
      <c r="FL110" s="326">
        <f t="shared" si="299"/>
        <v>0</v>
      </c>
      <c r="FM110" s="326">
        <f t="shared" si="300"/>
        <v>0</v>
      </c>
      <c r="FN110" s="326">
        <f t="shared" si="301"/>
        <v>0</v>
      </c>
      <c r="FP110" s="326"/>
      <c r="FQ110" s="326"/>
      <c r="FR110" s="326"/>
      <c r="FS110" s="326"/>
      <c r="GF110" s="2">
        <v>65</v>
      </c>
      <c r="GG110" s="2">
        <f t="shared" si="302"/>
        <v>1</v>
      </c>
      <c r="GH110" s="2">
        <f t="shared" si="303"/>
      </c>
      <c r="GI110" s="20">
        <f t="shared" si="304"/>
      </c>
      <c r="GJ110" s="20"/>
      <c r="GK110" s="20">
        <f t="shared" si="305"/>
      </c>
    </row>
    <row r="111" spans="1:193" s="29" customFormat="1" ht="15.75" customHeight="1" hidden="1" thickBot="1" thickTop="1">
      <c r="A111" s="144"/>
      <c r="B111" s="150">
        <f t="shared" si="306"/>
        <v>186</v>
      </c>
      <c r="C111" s="26">
        <f t="shared" si="222"/>
        <v>20971231</v>
      </c>
      <c r="D111" s="26" t="str">
        <f t="shared" si="223"/>
        <v>2097</v>
      </c>
      <c r="E111" s="26" t="str">
        <f t="shared" si="224"/>
        <v>12</v>
      </c>
      <c r="F111" s="26" t="str">
        <f t="shared" si="225"/>
        <v>31</v>
      </c>
      <c r="G111" s="26" t="str">
        <f t="shared" si="226"/>
        <v>2097/12/31</v>
      </c>
      <c r="H111" s="117">
        <f t="shared" si="188"/>
        <v>104</v>
      </c>
      <c r="I111" s="117">
        <f t="shared" si="227"/>
        <v>0</v>
      </c>
      <c r="J111" s="26">
        <f t="shared" si="310"/>
        <v>18</v>
      </c>
      <c r="K111" s="118">
        <f t="shared" si="189"/>
        <v>104</v>
      </c>
      <c r="L111" s="118">
        <f t="shared" si="190"/>
        <v>0</v>
      </c>
      <c r="M111" s="118">
        <f t="shared" si="191"/>
        <v>18</v>
      </c>
      <c r="N111" s="609" t="str">
        <f t="shared" si="228"/>
        <v>186.1.1~186.12.31</v>
      </c>
      <c r="O111" s="610"/>
      <c r="P111" s="610"/>
      <c r="Q111" s="611"/>
      <c r="R111" s="292" t="str">
        <f t="shared" si="307"/>
        <v>65</v>
      </c>
      <c r="S111" s="338">
        <f t="shared" si="229"/>
        <v>124</v>
      </c>
      <c r="T111" s="339">
        <f t="shared" si="230"/>
        <v>104</v>
      </c>
      <c r="U111" s="204">
        <f t="shared" si="231"/>
        <v>228</v>
      </c>
      <c r="V111" s="149"/>
      <c r="W111" s="613">
        <f t="shared" si="176"/>
      </c>
      <c r="X111" s="614"/>
      <c r="Y111" s="614"/>
      <c r="Z111" s="615"/>
      <c r="AA111" s="262">
        <f t="shared" si="232"/>
      </c>
      <c r="AB111" s="318">
        <f t="shared" si="233"/>
      </c>
      <c r="AC111" s="318">
        <f t="shared" si="234"/>
      </c>
      <c r="AD111" s="220">
        <f t="shared" si="235"/>
      </c>
      <c r="AE111" s="262">
        <f t="shared" si="236"/>
      </c>
      <c r="AF111" s="231">
        <f t="shared" si="237"/>
      </c>
      <c r="AG111" s="310">
        <f t="shared" si="238"/>
      </c>
      <c r="AH111" s="227">
        <f t="shared" si="239"/>
      </c>
      <c r="AI111" s="320">
        <f t="shared" si="240"/>
      </c>
      <c r="AJ111" s="320">
        <f t="shared" si="241"/>
      </c>
      <c r="AK111" s="320">
        <f t="shared" si="242"/>
      </c>
      <c r="AL111" s="320">
        <f t="shared" si="243"/>
      </c>
      <c r="AM111" s="282">
        <f t="shared" si="244"/>
      </c>
      <c r="AN111" s="103"/>
      <c r="AO111" s="119">
        <f t="shared" si="192"/>
        <v>0</v>
      </c>
      <c r="AP111" s="119">
        <f t="shared" si="245"/>
        <v>1</v>
      </c>
      <c r="AQ111" s="119">
        <f t="shared" si="246"/>
        <v>1</v>
      </c>
      <c r="AR111" s="119">
        <f>IF(OR(AO111+AP111+AQ111+GG111&gt;0,SUM($AO$30:AQ110)+GG110&gt;0),1,0)</f>
        <v>1</v>
      </c>
      <c r="AS111" s="119">
        <f t="shared" si="193"/>
      </c>
      <c r="AT111" s="119" t="str">
        <f t="shared" si="247"/>
        <v>符合「年齡滿65歲、年資滿15年」之屆齡退休擇領月退休金條件</v>
      </c>
      <c r="AU111" s="119">
        <f t="shared" si="248"/>
      </c>
      <c r="AV111" s="380" t="str">
        <f t="shared" si="249"/>
        <v>符合「年齡滿65歲、年資滿15年」之屆齡退休擇領月退休金條件</v>
      </c>
      <c r="AW111" s="120">
        <f t="shared" si="194"/>
        <v>0</v>
      </c>
      <c r="AX111" s="120">
        <f t="shared" si="195"/>
        <v>1</v>
      </c>
      <c r="AY111" s="120" t="str">
        <f t="shared" si="174"/>
        <v>符合</v>
      </c>
      <c r="AZ111" s="120">
        <f t="shared" si="196"/>
        <v>124</v>
      </c>
      <c r="BA111" s="120">
        <f t="shared" si="197"/>
        <v>20971231</v>
      </c>
      <c r="BB111" s="120" t="str">
        <f t="shared" si="198"/>
        <v>186.1.1~186.12.31</v>
      </c>
      <c r="BC111" s="121">
        <f t="shared" si="250"/>
      </c>
      <c r="BD111" s="122">
        <f t="shared" si="251"/>
      </c>
      <c r="BE111" s="122"/>
      <c r="BF111" s="120"/>
      <c r="BG111" s="123">
        <f t="shared" si="252"/>
      </c>
      <c r="BH111" s="31">
        <f t="shared" si="253"/>
        <v>1</v>
      </c>
      <c r="BI111" s="7">
        <f t="shared" si="254"/>
        <v>1</v>
      </c>
      <c r="BJ111" s="7"/>
      <c r="BK111" s="124">
        <f t="shared" si="199"/>
        <v>0</v>
      </c>
      <c r="BL111" s="124">
        <f t="shared" si="255"/>
      </c>
      <c r="BM111" s="124">
        <f t="shared" si="256"/>
        <v>0</v>
      </c>
      <c r="BN111" s="124">
        <f t="shared" si="257"/>
      </c>
      <c r="BO111" s="124">
        <f t="shared" si="258"/>
        <v>0</v>
      </c>
      <c r="BP111" s="124">
        <f t="shared" si="200"/>
      </c>
      <c r="BQ111" s="33"/>
      <c r="BR111" s="33"/>
      <c r="BS111" s="33"/>
      <c r="BT111" s="33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4"/>
      <c r="CH111" s="34"/>
      <c r="CI111" s="34"/>
      <c r="CJ111" s="34"/>
      <c r="CK111" s="183">
        <f t="shared" si="201"/>
        <v>13</v>
      </c>
      <c r="CL111" s="7">
        <f t="shared" si="202"/>
        <v>12</v>
      </c>
      <c r="CM111" s="20">
        <f t="shared" si="203"/>
        <v>186</v>
      </c>
      <c r="CN111" s="382">
        <f t="shared" si="259"/>
        <v>72306</v>
      </c>
      <c r="CO111" s="185">
        <f t="shared" si="260"/>
        <v>12</v>
      </c>
      <c r="CP111" s="2">
        <f t="shared" si="261"/>
        <v>17</v>
      </c>
      <c r="CQ111" s="382">
        <f t="shared" si="262"/>
        <v>72302</v>
      </c>
      <c r="CR111" s="185">
        <f t="shared" si="308"/>
        <v>12</v>
      </c>
      <c r="CS111" s="2">
        <f t="shared" si="309"/>
        <v>13</v>
      </c>
      <c r="CT111" s="2" t="str">
        <f t="shared" si="263"/>
        <v>初任</v>
      </c>
      <c r="CU111" s="382">
        <f t="shared" si="264"/>
        <v>72302</v>
      </c>
      <c r="CV111" s="2">
        <f t="shared" si="265"/>
        <v>12</v>
      </c>
      <c r="CW111" s="2" t="str">
        <f t="shared" si="266"/>
        <v>生日</v>
      </c>
      <c r="CX111" s="382">
        <f t="shared" si="267"/>
        <v>72306</v>
      </c>
      <c r="CY111" s="2">
        <f t="shared" si="268"/>
        <v>12</v>
      </c>
      <c r="CZ111" s="2">
        <f t="shared" si="204"/>
        <v>0</v>
      </c>
      <c r="DA111" s="2">
        <f t="shared" si="269"/>
      </c>
      <c r="DB111" s="2">
        <f t="shared" si="205"/>
      </c>
      <c r="DC111" s="2">
        <f t="shared" si="270"/>
      </c>
      <c r="DD111" s="2">
        <f t="shared" si="271"/>
      </c>
      <c r="DE111" s="2">
        <f t="shared" si="272"/>
      </c>
      <c r="DF111" s="2">
        <f t="shared" si="206"/>
      </c>
      <c r="DG111" s="129">
        <f t="shared" si="207"/>
      </c>
      <c r="DH111" s="2">
        <f t="shared" si="208"/>
      </c>
      <c r="DI111" s="2">
        <f t="shared" si="273"/>
      </c>
      <c r="DJ111" s="129">
        <f t="shared" si="274"/>
      </c>
      <c r="DK111" s="2">
        <f t="shared" si="209"/>
      </c>
      <c r="DL111" s="2">
        <f t="shared" si="275"/>
      </c>
      <c r="DM111" s="129">
        <f t="shared" si="276"/>
      </c>
      <c r="DN111" s="2">
        <f t="shared" si="210"/>
      </c>
      <c r="DO111" s="2">
        <f t="shared" si="211"/>
      </c>
      <c r="DP111" s="129">
        <f t="shared" si="277"/>
      </c>
      <c r="DQ111" s="2">
        <f t="shared" si="212"/>
      </c>
      <c r="DR111" s="2">
        <f t="shared" si="213"/>
      </c>
      <c r="DS111" s="129">
        <f t="shared" si="278"/>
      </c>
      <c r="DT111" s="2">
        <f t="shared" si="214"/>
      </c>
      <c r="DU111" s="2">
        <f t="shared" si="215"/>
      </c>
      <c r="DV111" s="129">
        <f t="shared" si="279"/>
      </c>
      <c r="DW111" s="2">
        <f t="shared" si="280"/>
      </c>
      <c r="DX111" s="2">
        <f t="shared" si="281"/>
      </c>
      <c r="DY111" s="129">
        <f t="shared" si="282"/>
      </c>
      <c r="DZ111" s="129"/>
      <c r="EA111" s="21">
        <f t="shared" si="283"/>
      </c>
      <c r="EB111" s="382">
        <f t="shared" si="284"/>
        <v>401769</v>
      </c>
      <c r="EC111" s="382">
        <f t="shared" si="285"/>
        <v>401769</v>
      </c>
      <c r="ED111" s="2">
        <f t="shared" si="286"/>
      </c>
      <c r="EE111" s="382">
        <f t="shared" si="287"/>
        <v>401769</v>
      </c>
      <c r="EF111" s="382">
        <f t="shared" si="288"/>
      </c>
      <c r="EG111" s="382">
        <f t="shared" si="289"/>
      </c>
      <c r="EH111" s="382"/>
      <c r="EI111" s="382">
        <f t="shared" si="290"/>
      </c>
      <c r="EJ111" s="208">
        <f t="shared" si="291"/>
        <v>401769</v>
      </c>
      <c r="EK111" s="2">
        <f t="shared" si="292"/>
      </c>
      <c r="EL111" s="2">
        <f t="shared" si="216"/>
      </c>
      <c r="EM111" s="34"/>
      <c r="EN111" s="7">
        <f t="shared" si="217"/>
        <v>1</v>
      </c>
      <c r="EO111" s="124">
        <f t="shared" si="218"/>
        <v>0</v>
      </c>
      <c r="EP111" s="214" t="str">
        <f t="shared" si="219"/>
        <v>●</v>
      </c>
      <c r="EQ111" s="213" t="str">
        <f t="shared" si="220"/>
        <v>●</v>
      </c>
      <c r="ER111" s="213" t="e">
        <f t="shared" si="221"/>
        <v>#VALUE!</v>
      </c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2"/>
      <c r="FD111" s="20"/>
      <c r="FE111" s="20">
        <f t="shared" si="293"/>
        <v>186</v>
      </c>
      <c r="FF111" s="2">
        <f t="shared" si="294"/>
        <v>1</v>
      </c>
      <c r="FG111" s="2">
        <f t="shared" si="295"/>
        <v>1</v>
      </c>
      <c r="FH111" s="2">
        <f t="shared" si="296"/>
        <v>1</v>
      </c>
      <c r="FI111" s="2">
        <f t="shared" si="297"/>
        <v>1</v>
      </c>
      <c r="FJ111" s="20"/>
      <c r="FK111" s="326">
        <f t="shared" si="298"/>
        <v>0</v>
      </c>
      <c r="FL111" s="326">
        <f t="shared" si="299"/>
        <v>0</v>
      </c>
      <c r="FM111" s="326">
        <f t="shared" si="300"/>
        <v>0</v>
      </c>
      <c r="FN111" s="326">
        <f t="shared" si="301"/>
        <v>0</v>
      </c>
      <c r="FP111" s="326"/>
      <c r="FQ111" s="326"/>
      <c r="FR111" s="326"/>
      <c r="FS111" s="326"/>
      <c r="GF111" s="2">
        <v>65</v>
      </c>
      <c r="GG111" s="2">
        <f t="shared" si="302"/>
        <v>1</v>
      </c>
      <c r="GH111" s="2">
        <f t="shared" si="303"/>
      </c>
      <c r="GI111" s="20">
        <f t="shared" si="304"/>
      </c>
      <c r="GJ111" s="20"/>
      <c r="GK111" s="20">
        <f t="shared" si="305"/>
      </c>
    </row>
    <row r="112" spans="1:193" s="29" customFormat="1" ht="15.75" customHeight="1" hidden="1" thickBot="1" thickTop="1">
      <c r="A112" s="144"/>
      <c r="B112" s="150">
        <f t="shared" si="306"/>
        <v>187</v>
      </c>
      <c r="C112" s="26">
        <f t="shared" si="222"/>
        <v>20981231</v>
      </c>
      <c r="D112" s="26" t="str">
        <f t="shared" si="223"/>
        <v>2098</v>
      </c>
      <c r="E112" s="26" t="str">
        <f t="shared" si="224"/>
        <v>12</v>
      </c>
      <c r="F112" s="26" t="str">
        <f t="shared" si="225"/>
        <v>31</v>
      </c>
      <c r="G112" s="26" t="str">
        <f t="shared" si="226"/>
        <v>2098/12/31</v>
      </c>
      <c r="H112" s="117">
        <f t="shared" si="188"/>
        <v>105</v>
      </c>
      <c r="I112" s="117">
        <f t="shared" si="227"/>
        <v>0</v>
      </c>
      <c r="J112" s="26">
        <f t="shared" si="310"/>
        <v>18</v>
      </c>
      <c r="K112" s="118">
        <f t="shared" si="189"/>
        <v>105</v>
      </c>
      <c r="L112" s="118">
        <f t="shared" si="190"/>
        <v>0</v>
      </c>
      <c r="M112" s="118">
        <f t="shared" si="191"/>
        <v>18</v>
      </c>
      <c r="N112" s="609" t="str">
        <f t="shared" si="228"/>
        <v>187.1.1~187.12.31</v>
      </c>
      <c r="O112" s="610"/>
      <c r="P112" s="610"/>
      <c r="Q112" s="611"/>
      <c r="R112" s="292" t="str">
        <f t="shared" si="307"/>
        <v>65</v>
      </c>
      <c r="S112" s="338">
        <f t="shared" si="229"/>
        <v>125</v>
      </c>
      <c r="T112" s="339">
        <f t="shared" si="230"/>
        <v>105</v>
      </c>
      <c r="U112" s="204">
        <f t="shared" si="231"/>
        <v>230</v>
      </c>
      <c r="V112" s="149"/>
      <c r="W112" s="613">
        <f t="shared" si="176"/>
      </c>
      <c r="X112" s="614"/>
      <c r="Y112" s="614"/>
      <c r="Z112" s="615"/>
      <c r="AA112" s="262">
        <f t="shared" si="232"/>
      </c>
      <c r="AB112" s="318">
        <f t="shared" si="233"/>
      </c>
      <c r="AC112" s="318">
        <f t="shared" si="234"/>
      </c>
      <c r="AD112" s="220">
        <f t="shared" si="235"/>
      </c>
      <c r="AE112" s="262">
        <f t="shared" si="236"/>
      </c>
      <c r="AF112" s="231">
        <f t="shared" si="237"/>
      </c>
      <c r="AG112" s="310">
        <f t="shared" si="238"/>
      </c>
      <c r="AH112" s="227">
        <f t="shared" si="239"/>
      </c>
      <c r="AI112" s="320">
        <f t="shared" si="240"/>
      </c>
      <c r="AJ112" s="320">
        <f t="shared" si="241"/>
      </c>
      <c r="AK112" s="320">
        <f t="shared" si="242"/>
      </c>
      <c r="AL112" s="320">
        <f t="shared" si="243"/>
      </c>
      <c r="AM112" s="282">
        <f t="shared" si="244"/>
      </c>
      <c r="AN112" s="103"/>
      <c r="AO112" s="119">
        <f t="shared" si="192"/>
        <v>0</v>
      </c>
      <c r="AP112" s="119">
        <f t="shared" si="245"/>
        <v>1</v>
      </c>
      <c r="AQ112" s="119">
        <f t="shared" si="246"/>
        <v>1</v>
      </c>
      <c r="AR112" s="119">
        <f>IF(OR(AO112+AP112+AQ112+GG112&gt;0,SUM($AO$30:AQ111)+GG111&gt;0),1,0)</f>
        <v>1</v>
      </c>
      <c r="AS112" s="119">
        <f t="shared" si="193"/>
      </c>
      <c r="AT112" s="119" t="str">
        <f t="shared" si="247"/>
        <v>符合「年齡滿65歲、年資滿15年」之屆齡退休擇領月退休金條件</v>
      </c>
      <c r="AU112" s="119">
        <f t="shared" si="248"/>
      </c>
      <c r="AV112" s="380" t="str">
        <f t="shared" si="249"/>
        <v>符合「年齡滿65歲、年資滿15年」之屆齡退休擇領月退休金條件</v>
      </c>
      <c r="AW112" s="120">
        <f t="shared" si="194"/>
        <v>0</v>
      </c>
      <c r="AX112" s="120">
        <f t="shared" si="195"/>
        <v>1</v>
      </c>
      <c r="AY112" s="120" t="str">
        <f t="shared" si="174"/>
        <v>符合</v>
      </c>
      <c r="AZ112" s="120">
        <f t="shared" si="196"/>
        <v>125</v>
      </c>
      <c r="BA112" s="120">
        <f t="shared" si="197"/>
        <v>20981231</v>
      </c>
      <c r="BB112" s="120" t="str">
        <f t="shared" si="198"/>
        <v>187.1.1~187.12.31</v>
      </c>
      <c r="BC112" s="121">
        <f t="shared" si="250"/>
      </c>
      <c r="BD112" s="122">
        <f t="shared" si="251"/>
      </c>
      <c r="BE112" s="122"/>
      <c r="BF112" s="120"/>
      <c r="BG112" s="123">
        <f t="shared" si="252"/>
      </c>
      <c r="BH112" s="31">
        <f t="shared" si="253"/>
        <v>1</v>
      </c>
      <c r="BI112" s="7">
        <f t="shared" si="254"/>
        <v>1</v>
      </c>
      <c r="BJ112" s="7"/>
      <c r="BK112" s="124">
        <f t="shared" si="199"/>
        <v>0</v>
      </c>
      <c r="BL112" s="124">
        <f t="shared" si="255"/>
      </c>
      <c r="BM112" s="124">
        <f t="shared" si="256"/>
        <v>0</v>
      </c>
      <c r="BN112" s="124">
        <f t="shared" si="257"/>
      </c>
      <c r="BO112" s="124">
        <f t="shared" si="258"/>
        <v>0</v>
      </c>
      <c r="BP112" s="124">
        <f t="shared" si="200"/>
      </c>
      <c r="BQ112" s="33"/>
      <c r="BR112" s="33"/>
      <c r="BS112" s="33"/>
      <c r="BT112" s="33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4"/>
      <c r="CH112" s="34"/>
      <c r="CI112" s="34"/>
      <c r="CJ112" s="34"/>
      <c r="CK112" s="183">
        <f t="shared" si="201"/>
        <v>13</v>
      </c>
      <c r="CL112" s="7">
        <f t="shared" si="202"/>
        <v>12</v>
      </c>
      <c r="CM112" s="20">
        <f t="shared" si="203"/>
        <v>187</v>
      </c>
      <c r="CN112" s="382">
        <f t="shared" si="259"/>
        <v>72671</v>
      </c>
      <c r="CO112" s="185">
        <f t="shared" si="260"/>
        <v>12</v>
      </c>
      <c r="CP112" s="2">
        <f t="shared" si="261"/>
        <v>17</v>
      </c>
      <c r="CQ112" s="382">
        <f t="shared" si="262"/>
        <v>72667</v>
      </c>
      <c r="CR112" s="185">
        <f t="shared" si="308"/>
        <v>12</v>
      </c>
      <c r="CS112" s="2">
        <f t="shared" si="309"/>
        <v>13</v>
      </c>
      <c r="CT112" s="2" t="str">
        <f t="shared" si="263"/>
        <v>初任</v>
      </c>
      <c r="CU112" s="382">
        <f t="shared" si="264"/>
        <v>72667</v>
      </c>
      <c r="CV112" s="2">
        <f t="shared" si="265"/>
        <v>12</v>
      </c>
      <c r="CW112" s="2" t="str">
        <f t="shared" si="266"/>
        <v>生日</v>
      </c>
      <c r="CX112" s="382">
        <f t="shared" si="267"/>
        <v>72671</v>
      </c>
      <c r="CY112" s="2">
        <f t="shared" si="268"/>
        <v>12</v>
      </c>
      <c r="CZ112" s="2">
        <f t="shared" si="204"/>
        <v>0</v>
      </c>
      <c r="DA112" s="2">
        <f t="shared" si="269"/>
      </c>
      <c r="DB112" s="2">
        <f t="shared" si="205"/>
      </c>
      <c r="DC112" s="2">
        <f t="shared" si="270"/>
      </c>
      <c r="DD112" s="2">
        <f t="shared" si="271"/>
      </c>
      <c r="DE112" s="2">
        <f t="shared" si="272"/>
      </c>
      <c r="DF112" s="2">
        <f t="shared" si="206"/>
      </c>
      <c r="DG112" s="129">
        <f t="shared" si="207"/>
      </c>
      <c r="DH112" s="2">
        <f t="shared" si="208"/>
      </c>
      <c r="DI112" s="2">
        <f t="shared" si="273"/>
      </c>
      <c r="DJ112" s="129">
        <f t="shared" si="274"/>
      </c>
      <c r="DK112" s="2">
        <f t="shared" si="209"/>
      </c>
      <c r="DL112" s="2">
        <f t="shared" si="275"/>
      </c>
      <c r="DM112" s="129">
        <f t="shared" si="276"/>
      </c>
      <c r="DN112" s="2">
        <f t="shared" si="210"/>
      </c>
      <c r="DO112" s="2">
        <f t="shared" si="211"/>
      </c>
      <c r="DP112" s="129">
        <f t="shared" si="277"/>
      </c>
      <c r="DQ112" s="2">
        <f t="shared" si="212"/>
      </c>
      <c r="DR112" s="2">
        <f t="shared" si="213"/>
      </c>
      <c r="DS112" s="129">
        <f t="shared" si="278"/>
      </c>
      <c r="DT112" s="2">
        <f t="shared" si="214"/>
      </c>
      <c r="DU112" s="2">
        <f t="shared" si="215"/>
      </c>
      <c r="DV112" s="129">
        <f t="shared" si="279"/>
      </c>
      <c r="DW112" s="2">
        <f t="shared" si="280"/>
      </c>
      <c r="DX112" s="2">
        <f t="shared" si="281"/>
      </c>
      <c r="DY112" s="129">
        <f t="shared" si="282"/>
      </c>
      <c r="DZ112" s="129"/>
      <c r="EA112" s="21">
        <f t="shared" si="283"/>
      </c>
      <c r="EB112" s="382">
        <f t="shared" si="284"/>
        <v>401769</v>
      </c>
      <c r="EC112" s="382">
        <f t="shared" si="285"/>
        <v>401769</v>
      </c>
      <c r="ED112" s="2">
        <f t="shared" si="286"/>
      </c>
      <c r="EE112" s="382">
        <f t="shared" si="287"/>
        <v>401769</v>
      </c>
      <c r="EF112" s="382">
        <f t="shared" si="288"/>
      </c>
      <c r="EG112" s="382">
        <f t="shared" si="289"/>
      </c>
      <c r="EH112" s="382"/>
      <c r="EI112" s="382">
        <f t="shared" si="290"/>
      </c>
      <c r="EJ112" s="208">
        <f t="shared" si="291"/>
        <v>401769</v>
      </c>
      <c r="EK112" s="2">
        <f t="shared" si="292"/>
      </c>
      <c r="EL112" s="2">
        <f t="shared" si="216"/>
      </c>
      <c r="EM112" s="34"/>
      <c r="EN112" s="7">
        <f t="shared" si="217"/>
        <v>1</v>
      </c>
      <c r="EO112" s="124">
        <f t="shared" si="218"/>
        <v>0</v>
      </c>
      <c r="EP112" s="214" t="str">
        <f t="shared" si="219"/>
        <v>●</v>
      </c>
      <c r="EQ112" s="213" t="str">
        <f t="shared" si="220"/>
        <v>●</v>
      </c>
      <c r="ER112" s="213" t="e">
        <f t="shared" si="221"/>
        <v>#VALUE!</v>
      </c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2"/>
      <c r="FD112" s="20"/>
      <c r="FE112" s="20">
        <f t="shared" si="293"/>
        <v>187</v>
      </c>
      <c r="FF112" s="2">
        <f t="shared" si="294"/>
        <v>1</v>
      </c>
      <c r="FG112" s="2">
        <f t="shared" si="295"/>
        <v>1</v>
      </c>
      <c r="FH112" s="2">
        <f t="shared" si="296"/>
        <v>1</v>
      </c>
      <c r="FI112" s="2">
        <f t="shared" si="297"/>
        <v>1</v>
      </c>
      <c r="FJ112" s="20"/>
      <c r="FK112" s="326">
        <f t="shared" si="298"/>
        <v>0</v>
      </c>
      <c r="FL112" s="326">
        <f t="shared" si="299"/>
        <v>0</v>
      </c>
      <c r="FM112" s="326">
        <f t="shared" si="300"/>
        <v>0</v>
      </c>
      <c r="FN112" s="326">
        <f t="shared" si="301"/>
        <v>0</v>
      </c>
      <c r="FP112" s="326"/>
      <c r="FQ112" s="326"/>
      <c r="FR112" s="326"/>
      <c r="FS112" s="326"/>
      <c r="GF112" s="2">
        <v>65</v>
      </c>
      <c r="GG112" s="2">
        <f t="shared" si="302"/>
        <v>1</v>
      </c>
      <c r="GH112" s="2">
        <f t="shared" si="303"/>
      </c>
      <c r="GI112" s="20">
        <f t="shared" si="304"/>
      </c>
      <c r="GJ112" s="20"/>
      <c r="GK112" s="20">
        <f t="shared" si="305"/>
      </c>
    </row>
    <row r="113" spans="1:193" s="29" customFormat="1" ht="15.75" customHeight="1" hidden="1" thickBot="1" thickTop="1">
      <c r="A113" s="144"/>
      <c r="B113" s="150">
        <f t="shared" si="306"/>
        <v>188</v>
      </c>
      <c r="C113" s="26">
        <f t="shared" si="222"/>
        <v>20991231</v>
      </c>
      <c r="D113" s="26" t="str">
        <f t="shared" si="223"/>
        <v>2099</v>
      </c>
      <c r="E113" s="26" t="str">
        <f t="shared" si="224"/>
        <v>12</v>
      </c>
      <c r="F113" s="26" t="str">
        <f t="shared" si="225"/>
        <v>31</v>
      </c>
      <c r="G113" s="26" t="str">
        <f t="shared" si="226"/>
        <v>2099/12/31</v>
      </c>
      <c r="H113" s="117">
        <f t="shared" si="188"/>
        <v>106</v>
      </c>
      <c r="I113" s="117">
        <f t="shared" si="227"/>
        <v>0</v>
      </c>
      <c r="J113" s="26">
        <f t="shared" si="310"/>
        <v>18</v>
      </c>
      <c r="K113" s="118">
        <f t="shared" si="189"/>
        <v>106</v>
      </c>
      <c r="L113" s="118">
        <f t="shared" si="190"/>
        <v>0</v>
      </c>
      <c r="M113" s="118">
        <f t="shared" si="191"/>
        <v>18</v>
      </c>
      <c r="N113" s="609" t="str">
        <f t="shared" si="228"/>
        <v>188.1.1~188.12.31</v>
      </c>
      <c r="O113" s="610"/>
      <c r="P113" s="610"/>
      <c r="Q113" s="611"/>
      <c r="R113" s="292" t="str">
        <f t="shared" si="307"/>
        <v>65</v>
      </c>
      <c r="S113" s="338">
        <f t="shared" si="229"/>
        <v>126</v>
      </c>
      <c r="T113" s="339">
        <f t="shared" si="230"/>
        <v>106</v>
      </c>
      <c r="U113" s="204">
        <f t="shared" si="231"/>
        <v>232</v>
      </c>
      <c r="V113" s="149"/>
      <c r="W113" s="613">
        <f t="shared" si="176"/>
      </c>
      <c r="X113" s="614"/>
      <c r="Y113" s="614"/>
      <c r="Z113" s="615"/>
      <c r="AA113" s="262">
        <f t="shared" si="232"/>
      </c>
      <c r="AB113" s="318">
        <f t="shared" si="233"/>
      </c>
      <c r="AC113" s="318">
        <f t="shared" si="234"/>
      </c>
      <c r="AD113" s="220">
        <f t="shared" si="235"/>
      </c>
      <c r="AE113" s="262">
        <f t="shared" si="236"/>
      </c>
      <c r="AF113" s="390">
        <f t="shared" si="237"/>
      </c>
      <c r="AG113" s="311">
        <f t="shared" si="238"/>
      </c>
      <c r="AH113" s="227">
        <f t="shared" si="239"/>
      </c>
      <c r="AI113" s="320">
        <f t="shared" si="240"/>
      </c>
      <c r="AJ113" s="320">
        <f t="shared" si="241"/>
      </c>
      <c r="AK113" s="320">
        <f t="shared" si="242"/>
      </c>
      <c r="AL113" s="320">
        <f t="shared" si="243"/>
      </c>
      <c r="AM113" s="312">
        <f t="shared" si="244"/>
      </c>
      <c r="AN113" s="103"/>
      <c r="AO113" s="119">
        <f t="shared" si="192"/>
        <v>0</v>
      </c>
      <c r="AP113" s="119">
        <f t="shared" si="245"/>
        <v>1</v>
      </c>
      <c r="AQ113" s="119">
        <f t="shared" si="246"/>
        <v>1</v>
      </c>
      <c r="AR113" s="119">
        <f>IF(OR(AO113+AP113+AQ113+GG113&gt;0,SUM($AO$30:AQ112)+GG112&gt;0),1,0)</f>
        <v>1</v>
      </c>
      <c r="AS113" s="119">
        <f t="shared" si="193"/>
      </c>
      <c r="AT113" s="119" t="str">
        <f t="shared" si="247"/>
        <v>符合「年齡滿65歲、年資滿15年」之屆齡退休擇領月退休金條件</v>
      </c>
      <c r="AU113" s="119">
        <f t="shared" si="248"/>
      </c>
      <c r="AV113" s="380" t="str">
        <f t="shared" si="249"/>
        <v>符合「年齡滿65歲、年資滿15年」之屆齡退休擇領月退休金條件</v>
      </c>
      <c r="AW113" s="120">
        <f t="shared" si="194"/>
        <v>0</v>
      </c>
      <c r="AX113" s="120">
        <f t="shared" si="195"/>
        <v>1</v>
      </c>
      <c r="AY113" s="120" t="str">
        <f t="shared" si="174"/>
        <v>符合</v>
      </c>
      <c r="AZ113" s="120">
        <f t="shared" si="196"/>
        <v>126</v>
      </c>
      <c r="BA113" s="120">
        <f t="shared" si="197"/>
        <v>20991231</v>
      </c>
      <c r="BB113" s="120" t="str">
        <f t="shared" si="198"/>
        <v>188.1.1~188.12.31</v>
      </c>
      <c r="BC113" s="121">
        <f t="shared" si="250"/>
      </c>
      <c r="BD113" s="122">
        <f t="shared" si="251"/>
      </c>
      <c r="BE113" s="122"/>
      <c r="BF113" s="120"/>
      <c r="BG113" s="123">
        <f t="shared" si="252"/>
      </c>
      <c r="BH113" s="31">
        <f t="shared" si="253"/>
        <v>1</v>
      </c>
      <c r="BI113" s="7">
        <f t="shared" si="254"/>
        <v>1</v>
      </c>
      <c r="BJ113" s="7"/>
      <c r="BK113" s="124">
        <f t="shared" si="199"/>
        <v>0</v>
      </c>
      <c r="BL113" s="124">
        <f t="shared" si="255"/>
      </c>
      <c r="BM113" s="124">
        <f t="shared" si="256"/>
        <v>0</v>
      </c>
      <c r="BN113" s="124">
        <f t="shared" si="257"/>
      </c>
      <c r="BO113" s="124">
        <f t="shared" si="258"/>
        <v>0</v>
      </c>
      <c r="BP113" s="124">
        <f t="shared" si="200"/>
      </c>
      <c r="BQ113" s="33"/>
      <c r="BR113" s="33"/>
      <c r="BS113" s="33"/>
      <c r="BT113" s="33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4"/>
      <c r="CH113" s="34"/>
      <c r="CI113" s="34"/>
      <c r="CJ113" s="34"/>
      <c r="CK113" s="183">
        <f t="shared" si="201"/>
        <v>13</v>
      </c>
      <c r="CL113" s="7">
        <f t="shared" si="202"/>
        <v>12</v>
      </c>
      <c r="CM113" s="20">
        <f t="shared" si="203"/>
        <v>188</v>
      </c>
      <c r="CN113" s="382">
        <f t="shared" si="259"/>
        <v>73036</v>
      </c>
      <c r="CO113" s="185">
        <f t="shared" si="260"/>
        <v>12</v>
      </c>
      <c r="CP113" s="2">
        <f t="shared" si="261"/>
        <v>17</v>
      </c>
      <c r="CQ113" s="382">
        <f t="shared" si="262"/>
        <v>73032</v>
      </c>
      <c r="CR113" s="185">
        <f t="shared" si="308"/>
        <v>12</v>
      </c>
      <c r="CS113" s="2">
        <f t="shared" si="309"/>
        <v>13</v>
      </c>
      <c r="CT113" s="2" t="str">
        <f t="shared" si="263"/>
        <v>初任</v>
      </c>
      <c r="CU113" s="382">
        <f t="shared" si="264"/>
        <v>73032</v>
      </c>
      <c r="CV113" s="2">
        <f t="shared" si="265"/>
        <v>12</v>
      </c>
      <c r="CW113" s="2" t="str">
        <f t="shared" si="266"/>
        <v>生日</v>
      </c>
      <c r="CX113" s="382">
        <f t="shared" si="267"/>
        <v>73036</v>
      </c>
      <c r="CY113" s="2">
        <f t="shared" si="268"/>
        <v>12</v>
      </c>
      <c r="CZ113" s="2">
        <f t="shared" si="204"/>
        <v>0</v>
      </c>
      <c r="DA113" s="2">
        <f t="shared" si="269"/>
      </c>
      <c r="DB113" s="2">
        <f t="shared" si="205"/>
      </c>
      <c r="DC113" s="2">
        <f t="shared" si="270"/>
      </c>
      <c r="DD113" s="2">
        <f t="shared" si="271"/>
      </c>
      <c r="DE113" s="2">
        <f t="shared" si="272"/>
      </c>
      <c r="DF113" s="2">
        <f t="shared" si="206"/>
      </c>
      <c r="DG113" s="129">
        <f t="shared" si="207"/>
      </c>
      <c r="DH113" s="2">
        <f t="shared" si="208"/>
      </c>
      <c r="DI113" s="2">
        <f t="shared" si="273"/>
      </c>
      <c r="DJ113" s="129">
        <f t="shared" si="274"/>
      </c>
      <c r="DK113" s="2">
        <f t="shared" si="209"/>
      </c>
      <c r="DL113" s="2">
        <f t="shared" si="275"/>
      </c>
      <c r="DM113" s="129">
        <f t="shared" si="276"/>
      </c>
      <c r="DN113" s="2">
        <f t="shared" si="210"/>
      </c>
      <c r="DO113" s="2">
        <f t="shared" si="211"/>
      </c>
      <c r="DP113" s="129">
        <f t="shared" si="277"/>
      </c>
      <c r="DQ113" s="2">
        <f t="shared" si="212"/>
      </c>
      <c r="DR113" s="2">
        <f t="shared" si="213"/>
      </c>
      <c r="DS113" s="129">
        <f t="shared" si="278"/>
      </c>
      <c r="DT113" s="2">
        <f t="shared" si="214"/>
      </c>
      <c r="DU113" s="2">
        <f t="shared" si="215"/>
      </c>
      <c r="DV113" s="129">
        <f t="shared" si="279"/>
      </c>
      <c r="DW113" s="2">
        <f t="shared" si="280"/>
      </c>
      <c r="DX113" s="2">
        <f t="shared" si="281"/>
      </c>
      <c r="DY113" s="129">
        <f t="shared" si="282"/>
      </c>
      <c r="DZ113" s="129"/>
      <c r="EA113" s="21">
        <f t="shared" si="283"/>
      </c>
      <c r="EB113" s="382">
        <f t="shared" si="284"/>
        <v>401769</v>
      </c>
      <c r="EC113" s="382">
        <f t="shared" si="285"/>
        <v>401769</v>
      </c>
      <c r="ED113" s="2">
        <f t="shared" si="286"/>
      </c>
      <c r="EE113" s="382">
        <f t="shared" si="287"/>
        <v>401769</v>
      </c>
      <c r="EF113" s="382">
        <f t="shared" si="288"/>
      </c>
      <c r="EG113" s="382">
        <f t="shared" si="289"/>
      </c>
      <c r="EH113" s="382"/>
      <c r="EI113" s="382">
        <f t="shared" si="290"/>
      </c>
      <c r="EJ113" s="208">
        <f t="shared" si="291"/>
        <v>401769</v>
      </c>
      <c r="EK113" s="2">
        <f t="shared" si="292"/>
      </c>
      <c r="EL113" s="2">
        <f t="shared" si="216"/>
      </c>
      <c r="EM113" s="34"/>
      <c r="EN113" s="7">
        <f t="shared" si="217"/>
        <v>1</v>
      </c>
      <c r="EO113" s="124">
        <f t="shared" si="218"/>
        <v>0</v>
      </c>
      <c r="EP113" s="214" t="str">
        <f t="shared" si="219"/>
        <v>●</v>
      </c>
      <c r="EQ113" s="213" t="str">
        <f t="shared" si="220"/>
        <v>●</v>
      </c>
      <c r="ER113" s="213" t="e">
        <f t="shared" si="221"/>
        <v>#VALUE!</v>
      </c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2"/>
      <c r="FD113" s="20"/>
      <c r="FE113" s="20">
        <f t="shared" si="293"/>
        <v>188</v>
      </c>
      <c r="FF113" s="2">
        <f t="shared" si="294"/>
        <v>1</v>
      </c>
      <c r="FG113" s="2">
        <f t="shared" si="295"/>
        <v>1</v>
      </c>
      <c r="FH113" s="2">
        <f t="shared" si="296"/>
        <v>1</v>
      </c>
      <c r="FI113" s="2">
        <f t="shared" si="297"/>
        <v>1</v>
      </c>
      <c r="FJ113" s="20"/>
      <c r="FK113" s="326">
        <f t="shared" si="298"/>
        <v>0</v>
      </c>
      <c r="FL113" s="326">
        <f t="shared" si="299"/>
        <v>0</v>
      </c>
      <c r="FM113" s="326">
        <f t="shared" si="300"/>
        <v>0</v>
      </c>
      <c r="FN113" s="326">
        <f t="shared" si="301"/>
        <v>0</v>
      </c>
      <c r="FP113" s="326"/>
      <c r="FQ113" s="326"/>
      <c r="FR113" s="326"/>
      <c r="FS113" s="326"/>
      <c r="GF113" s="2">
        <v>65</v>
      </c>
      <c r="GG113" s="2">
        <f t="shared" si="302"/>
        <v>1</v>
      </c>
      <c r="GH113" s="2">
        <f t="shared" si="303"/>
      </c>
      <c r="GI113" s="20">
        <f t="shared" si="304"/>
      </c>
      <c r="GJ113" s="20"/>
      <c r="GK113" s="20">
        <f t="shared" si="305"/>
      </c>
    </row>
    <row r="114" spans="1:192" s="29" customFormat="1" ht="6" customHeight="1" thickTop="1">
      <c r="A114" s="144"/>
      <c r="B114" s="159"/>
      <c r="C114" s="152"/>
      <c r="D114" s="152"/>
      <c r="E114" s="152"/>
      <c r="F114" s="152"/>
      <c r="G114" s="152"/>
      <c r="H114" s="153"/>
      <c r="I114" s="153"/>
      <c r="J114" s="152"/>
      <c r="K114" s="154"/>
      <c r="L114" s="154"/>
      <c r="M114" s="154"/>
      <c r="N114" s="156" t="s">
        <v>77</v>
      </c>
      <c r="O114" s="156" t="s">
        <v>77</v>
      </c>
      <c r="P114" s="156" t="s">
        <v>77</v>
      </c>
      <c r="Q114" s="156" t="s">
        <v>77</v>
      </c>
      <c r="R114" s="156" t="s">
        <v>77</v>
      </c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7"/>
      <c r="AG114" s="158"/>
      <c r="AH114" s="158"/>
      <c r="AI114" s="158"/>
      <c r="AJ114" s="158"/>
      <c r="AK114" s="158"/>
      <c r="AL114" s="158"/>
      <c r="AM114" s="158"/>
      <c r="AN114" s="38"/>
      <c r="AO114" s="26"/>
      <c r="AP114" s="26"/>
      <c r="AQ114" s="26"/>
      <c r="AR114" s="26"/>
      <c r="AS114" s="26"/>
      <c r="AT114" s="27"/>
      <c r="AU114" s="27"/>
      <c r="AV114" s="28"/>
      <c r="AW114" s="28"/>
      <c r="AX114" s="28"/>
      <c r="AY114" s="28"/>
      <c r="AZ114" s="132"/>
      <c r="BA114" s="132"/>
      <c r="BB114" s="132"/>
      <c r="BC114" s="28"/>
      <c r="BD114" s="28"/>
      <c r="BG114" s="28"/>
      <c r="BH114" s="104"/>
      <c r="BL114" s="32"/>
      <c r="BN114" s="32"/>
      <c r="BO114" s="32"/>
      <c r="BP114" s="32"/>
      <c r="BQ114" s="33"/>
      <c r="BR114" s="59"/>
      <c r="BS114" s="60"/>
      <c r="BT114" s="60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7"/>
      <c r="CL114" s="7"/>
      <c r="CM114" s="20"/>
      <c r="CN114" s="2"/>
      <c r="CO114" s="185"/>
      <c r="CP114" s="2"/>
      <c r="CQ114" s="2"/>
      <c r="CR114" s="185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>
        <f t="shared" si="272"/>
      </c>
      <c r="DF114" s="2">
        <f t="shared" si="206"/>
      </c>
      <c r="DG114" s="129"/>
      <c r="DH114" s="2"/>
      <c r="DI114" s="2"/>
      <c r="DJ114" s="129"/>
      <c r="DK114" s="2"/>
      <c r="DL114" s="2"/>
      <c r="DM114" s="129"/>
      <c r="DN114" s="2">
        <f t="shared" si="210"/>
      </c>
      <c r="DO114" s="2">
        <f t="shared" si="211"/>
      </c>
      <c r="DP114" s="129">
        <f aca="true" t="shared" si="311" ref="DP114:DP156">IF(DN114="","",IF(RIGHT(DO114,4)=".8.1",CM114&amp;".8.1",IF(RIGHT(DO114,4)=".2.1",CM114&amp;".2.1",IF(DN114=1,CM114&amp;".2.1。【說明：原實際條件成就時間為"&amp;DO114&amp;"，惟因必須配合學期而延至當學期結束之次日，始能退休生效，爰推算為"&amp;CM114&amp;".2.1】",IF(AND(DN114&lt;=7,DN114&gt;1),CM114&amp;".8.1。【說明：原實際條件成就時間為"&amp;DO114&amp;"，惟因必須配合學期而延至當學年度結束之次日，始能退休生效，爰推算為"&amp;CM114&amp;".8.1】",CM114+1&amp;".2.1。【說明：原實際條件成就時間為"&amp;DO114&amp;"，惟因必須配合學期而延至當學期結束之次日，始能退休生效，爰推算為"&amp;CM114+1&amp;".2.1】")))))</f>
      </c>
      <c r="DQ114" s="2">
        <f t="shared" si="212"/>
      </c>
      <c r="DR114" s="2">
        <f t="shared" si="213"/>
      </c>
      <c r="DS114" s="129">
        <f aca="true" t="shared" si="312" ref="DS114:DS156">IF(DQ114="","",IF(RIGHT(DR114,4)=".8.1",CM114&amp;".8.1",IF(RIGHT(DR114,4)=".2.1",CM114&amp;".2.1",IF(DQ114=1,CM114&amp;".2.1。【說明：原實際條件成就時間為"&amp;DR114&amp;"，惟因必須配合學期而延至當學期結束之次日，始能退休生效，爰推算為"&amp;CM114&amp;".2.1】",IF(AND(DQ114&lt;=7,DQ114&gt;1),CM114&amp;".8.1。【說明：原實際條件成就時間為"&amp;DR114&amp;"，惟因必須配合學期而延至當學年度結束之次日，始能退休生效，爰推算為"&amp;CM114&amp;".8.1】",CM114+1&amp;".2.1。【說明：原實際條件成就時間為"&amp;DR114&amp;"，惟因必須配合學期而延至當學期結束之次日，始能退休生效，爰推算為"&amp;CM114+1&amp;".2.1】")))))</f>
      </c>
      <c r="DT114" s="2">
        <f t="shared" si="214"/>
      </c>
      <c r="DU114" s="2">
        <f t="shared" si="215"/>
      </c>
      <c r="DV114" s="129">
        <f aca="true" t="shared" si="313" ref="DV114:DV156">IF(DT114="","",IF(RIGHT(DU114,4)=".8.1",CM114&amp;".8.1",IF(RIGHT(DU114,4)=".2.1",CM114&amp;".2.1",IF(DT114=1,CM114&amp;".2.1。【說明：原實際條件成就時間為"&amp;DU114&amp;"，惟因必須配合學期而延至當學期結束之次日，始能退休生效，爰推算為"&amp;CM114&amp;".2.1】",IF(AND(DT114&lt;=7,DT114&gt;1),CM114&amp;".8.1。【說明：原實際條件成就時間為"&amp;DU114&amp;"，惟因必須配合學期而延至當學年度結束之次日，始能退休生效，爰推算為"&amp;CM114&amp;".8.1】",CM114+1&amp;".2.1。【說明：原實際條件成就時間為"&amp;DU114&amp;"，惟因必須配合學期而延至當學期結束之次日，始能退休生效，爰推算為"&amp;CM114+1&amp;".2.1】")))))</f>
      </c>
      <c r="DW114" s="2">
        <f aca="true" t="shared" si="314" ref="DW114:DW156">IF(DA114=65,CO114,"")</f>
      </c>
      <c r="DX114" s="2">
        <f aca="true" t="shared" si="315" ref="DX114:DX156">IF(DA114=65,CN114,"")</f>
      </c>
      <c r="DY114" s="129">
        <f aca="true" t="shared" si="316" ref="DY114:DY156">IF(DW114="","",IF(RIGHT(DX114,4)=".8.1",CM114&amp;".8.1",IF(RIGHT(DX114,4)=".2.1",CM114&amp;".2.1",IF(DW114=1,CM114&amp;".2.1。【說明：原實際條件成就時間為"&amp;DX114&amp;"，惟因必須配合學期而延至當學期結束之次日，始能退休生效，爰推算為"&amp;CM114&amp;".2.1】",IF(AND(DW114&lt;=7,DW114&gt;1),CM114&amp;".8.1。【說明：原實際條件成就時間為"&amp;DX114&amp;"，惟因必須配合學期而延至當學年度結束之次日，始能退休生效，爰推算為"&amp;CM114&amp;".8.1】",CM114+1&amp;".2.1。【說明：原實際條件成就時間為"&amp;DX114&amp;"，惟因必須配合學期而延至當學期結束之次日，始能退休生效，爰推算為"&amp;CM114+1&amp;".2.1】")))))</f>
      </c>
      <c r="DZ114" s="129"/>
      <c r="EA114" s="21"/>
      <c r="EB114" s="2"/>
      <c r="EC114" s="2"/>
      <c r="ED114" s="2"/>
      <c r="EE114" s="2"/>
      <c r="EF114" s="382"/>
      <c r="EG114" s="382"/>
      <c r="EH114" s="382"/>
      <c r="EI114" s="382"/>
      <c r="EJ114" s="208"/>
      <c r="EK114" s="2"/>
      <c r="EL114" s="2"/>
      <c r="EM114" s="34"/>
      <c r="EN114" s="34"/>
      <c r="EO114" s="34"/>
      <c r="EP114" s="213"/>
      <c r="EQ114" s="213"/>
      <c r="ER114" s="213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2"/>
      <c r="FD114" s="20"/>
      <c r="FE114" s="20"/>
      <c r="FF114" s="20"/>
      <c r="FG114" s="20"/>
      <c r="FH114" s="20"/>
      <c r="FI114" s="20"/>
      <c r="FJ114" s="20"/>
      <c r="FK114" s="326"/>
      <c r="FL114" s="326"/>
      <c r="FM114" s="326"/>
      <c r="FN114" s="326"/>
      <c r="FP114" s="326"/>
      <c r="FQ114" s="326"/>
      <c r="FR114" s="326"/>
      <c r="FS114" s="326"/>
      <c r="GF114" s="2"/>
      <c r="GG114" s="2"/>
      <c r="GH114" s="2"/>
      <c r="GJ114" s="20"/>
    </row>
    <row r="115" spans="1:192" s="137" customFormat="1" ht="16.5">
      <c r="A115" s="144"/>
      <c r="B115" s="59"/>
      <c r="C115" s="59"/>
      <c r="D115" s="32"/>
      <c r="E115" s="32"/>
      <c r="F115" s="32"/>
      <c r="G115" s="59"/>
      <c r="H115" s="145"/>
      <c r="I115" s="145"/>
      <c r="J115" s="59"/>
      <c r="K115" s="147"/>
      <c r="L115" s="147"/>
      <c r="M115" s="147"/>
      <c r="N115" s="566"/>
      <c r="O115" s="566"/>
      <c r="P115" s="566"/>
      <c r="Q115" s="566"/>
      <c r="R115" s="148"/>
      <c r="S115" s="146"/>
      <c r="T115" s="146"/>
      <c r="U115" s="146"/>
      <c r="V115" s="59"/>
      <c r="W115" s="33"/>
      <c r="X115" s="59"/>
      <c r="Y115" s="59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1"/>
      <c r="AU115" s="31"/>
      <c r="AV115" s="30"/>
      <c r="AW115" s="30"/>
      <c r="AX115" s="30"/>
      <c r="AY115" s="30"/>
      <c r="AZ115" s="31"/>
      <c r="BA115" s="31"/>
      <c r="BB115" s="31"/>
      <c r="BC115" s="30"/>
      <c r="BD115" s="30"/>
      <c r="BE115" s="34"/>
      <c r="BF115" s="34"/>
      <c r="BG115" s="30"/>
      <c r="BH115" s="31"/>
      <c r="BI115" s="31"/>
      <c r="BJ115" s="31"/>
      <c r="BK115" s="31"/>
      <c r="BL115" s="31"/>
      <c r="BM115" s="31"/>
      <c r="BN115" s="31"/>
      <c r="BO115" s="31"/>
      <c r="BP115" s="31"/>
      <c r="BQ115" s="30"/>
      <c r="BR115" s="31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7"/>
      <c r="CL115" s="7"/>
      <c r="CM115" s="20"/>
      <c r="CN115" s="2"/>
      <c r="CO115" s="185"/>
      <c r="CP115" s="2"/>
      <c r="CQ115" s="2"/>
      <c r="CR115" s="185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>
        <f t="shared" si="272"/>
      </c>
      <c r="DF115" s="2">
        <f t="shared" si="206"/>
      </c>
      <c r="DG115" s="129"/>
      <c r="DH115" s="2"/>
      <c r="DI115" s="2"/>
      <c r="DJ115" s="129"/>
      <c r="DK115" s="2"/>
      <c r="DL115" s="2"/>
      <c r="DM115" s="129"/>
      <c r="DN115" s="2">
        <f t="shared" si="210"/>
      </c>
      <c r="DO115" s="2">
        <f t="shared" si="211"/>
      </c>
      <c r="DP115" s="129">
        <f t="shared" si="311"/>
      </c>
      <c r="DQ115" s="2">
        <f t="shared" si="212"/>
      </c>
      <c r="DR115" s="2">
        <f t="shared" si="213"/>
      </c>
      <c r="DS115" s="129">
        <f t="shared" si="312"/>
      </c>
      <c r="DT115" s="2">
        <f t="shared" si="214"/>
      </c>
      <c r="DU115" s="2">
        <f t="shared" si="215"/>
      </c>
      <c r="DV115" s="129">
        <f t="shared" si="313"/>
      </c>
      <c r="DW115" s="2">
        <f t="shared" si="314"/>
      </c>
      <c r="DX115" s="2">
        <f t="shared" si="315"/>
      </c>
      <c r="DY115" s="129">
        <f t="shared" si="316"/>
      </c>
      <c r="DZ115" s="129"/>
      <c r="EA115" s="21"/>
      <c r="EB115" s="2"/>
      <c r="EC115" s="2"/>
      <c r="ED115" s="2"/>
      <c r="EE115" s="2"/>
      <c r="EF115" s="382"/>
      <c r="EG115" s="382"/>
      <c r="EH115" s="382"/>
      <c r="EI115" s="382"/>
      <c r="EJ115" s="208"/>
      <c r="EK115" s="2"/>
      <c r="EL115" s="2"/>
      <c r="EM115" s="34"/>
      <c r="EN115" s="34"/>
      <c r="EO115" s="34"/>
      <c r="EP115" s="213"/>
      <c r="EQ115" s="213"/>
      <c r="ER115" s="213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140"/>
      <c r="FD115" s="218"/>
      <c r="FE115" s="218"/>
      <c r="FF115" s="218"/>
      <c r="FG115" s="218"/>
      <c r="FH115" s="218"/>
      <c r="FI115" s="218"/>
      <c r="FJ115" s="218"/>
      <c r="FK115" s="328"/>
      <c r="FL115" s="328"/>
      <c r="FM115" s="328"/>
      <c r="FN115" s="328"/>
      <c r="FP115" s="328"/>
      <c r="FQ115" s="328"/>
      <c r="FR115" s="328"/>
      <c r="FS115" s="328"/>
      <c r="GF115" s="140"/>
      <c r="GG115" s="140"/>
      <c r="GH115" s="140"/>
      <c r="GJ115" s="218"/>
    </row>
    <row r="116" spans="1:192" s="137" customFormat="1" ht="16.5">
      <c r="A116" s="34"/>
      <c r="B116" s="59"/>
      <c r="C116" s="59"/>
      <c r="D116" s="32"/>
      <c r="E116" s="32"/>
      <c r="F116" s="32"/>
      <c r="G116" s="59"/>
      <c r="H116" s="145"/>
      <c r="I116" s="145"/>
      <c r="J116" s="59"/>
      <c r="K116" s="147"/>
      <c r="L116" s="147"/>
      <c r="M116" s="147"/>
      <c r="N116" s="566"/>
      <c r="O116" s="566"/>
      <c r="P116" s="566"/>
      <c r="Q116" s="566"/>
      <c r="R116" s="148"/>
      <c r="S116" s="146"/>
      <c r="T116" s="146"/>
      <c r="U116" s="146"/>
      <c r="V116" s="59"/>
      <c r="W116" s="33"/>
      <c r="X116" s="59"/>
      <c r="Y116" s="59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1"/>
      <c r="AU116" s="31"/>
      <c r="AV116" s="30"/>
      <c r="AW116" s="30"/>
      <c r="AX116" s="30"/>
      <c r="AY116" s="30"/>
      <c r="AZ116" s="31"/>
      <c r="BA116" s="31"/>
      <c r="BB116" s="31"/>
      <c r="BC116" s="30"/>
      <c r="BD116" s="30"/>
      <c r="BE116" s="34"/>
      <c r="BF116" s="34"/>
      <c r="BG116" s="30"/>
      <c r="BH116" s="31"/>
      <c r="BI116" s="31"/>
      <c r="BJ116" s="31"/>
      <c r="BK116" s="31"/>
      <c r="BL116" s="31"/>
      <c r="BM116" s="31"/>
      <c r="BN116" s="31"/>
      <c r="BO116" s="31"/>
      <c r="BP116" s="31"/>
      <c r="BQ116" s="30"/>
      <c r="BR116" s="31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7"/>
      <c r="CL116" s="7"/>
      <c r="CM116" s="20"/>
      <c r="CN116" s="2"/>
      <c r="CO116" s="185"/>
      <c r="CP116" s="2"/>
      <c r="CQ116" s="2"/>
      <c r="CR116" s="185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>
        <f t="shared" si="272"/>
      </c>
      <c r="DF116" s="2">
        <f t="shared" si="206"/>
      </c>
      <c r="DG116" s="129"/>
      <c r="DH116" s="2"/>
      <c r="DI116" s="2"/>
      <c r="DJ116" s="129"/>
      <c r="DK116" s="2"/>
      <c r="DL116" s="2"/>
      <c r="DM116" s="129"/>
      <c r="DN116" s="2">
        <f t="shared" si="210"/>
      </c>
      <c r="DO116" s="2">
        <f t="shared" si="211"/>
      </c>
      <c r="DP116" s="129">
        <f t="shared" si="311"/>
      </c>
      <c r="DQ116" s="2">
        <f t="shared" si="212"/>
      </c>
      <c r="DR116" s="2">
        <f t="shared" si="213"/>
      </c>
      <c r="DS116" s="129">
        <f t="shared" si="312"/>
      </c>
      <c r="DT116" s="2">
        <f t="shared" si="214"/>
      </c>
      <c r="DU116" s="2">
        <f t="shared" si="215"/>
      </c>
      <c r="DV116" s="129">
        <f t="shared" si="313"/>
      </c>
      <c r="DW116" s="2">
        <f t="shared" si="314"/>
      </c>
      <c r="DX116" s="2">
        <f t="shared" si="315"/>
      </c>
      <c r="DY116" s="129">
        <f t="shared" si="316"/>
      </c>
      <c r="DZ116" s="129"/>
      <c r="EA116" s="21"/>
      <c r="EB116" s="2"/>
      <c r="EC116" s="2"/>
      <c r="ED116" s="2"/>
      <c r="EE116" s="2"/>
      <c r="EF116" s="382"/>
      <c r="EG116" s="382"/>
      <c r="EH116" s="382"/>
      <c r="EI116" s="382"/>
      <c r="EJ116" s="208"/>
      <c r="EK116" s="2"/>
      <c r="EL116" s="2"/>
      <c r="EM116" s="34"/>
      <c r="EN116" s="34"/>
      <c r="EO116" s="34"/>
      <c r="EP116" s="213"/>
      <c r="EQ116" s="213"/>
      <c r="ER116" s="213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140"/>
      <c r="FD116" s="218"/>
      <c r="FE116" s="218"/>
      <c r="FF116" s="218"/>
      <c r="FG116" s="218"/>
      <c r="FH116" s="218"/>
      <c r="FI116" s="218"/>
      <c r="FJ116" s="218"/>
      <c r="FK116" s="328"/>
      <c r="FL116" s="328"/>
      <c r="FM116" s="328"/>
      <c r="FN116" s="328"/>
      <c r="FP116" s="328"/>
      <c r="FQ116" s="328"/>
      <c r="FR116" s="328"/>
      <c r="FS116" s="328"/>
      <c r="GF116" s="140"/>
      <c r="GG116" s="140"/>
      <c r="GH116" s="140"/>
      <c r="GJ116" s="218"/>
    </row>
    <row r="117" spans="1:192" s="137" customFormat="1" ht="16.5">
      <c r="A117" s="34"/>
      <c r="B117" s="59"/>
      <c r="C117" s="59"/>
      <c r="D117" s="32"/>
      <c r="E117" s="32"/>
      <c r="F117" s="32"/>
      <c r="G117" s="59"/>
      <c r="H117" s="145"/>
      <c r="I117" s="145"/>
      <c r="J117" s="59"/>
      <c r="K117" s="147"/>
      <c r="L117" s="147"/>
      <c r="M117" s="147"/>
      <c r="N117" s="566"/>
      <c r="O117" s="566"/>
      <c r="P117" s="566"/>
      <c r="Q117" s="566"/>
      <c r="R117" s="148"/>
      <c r="S117" s="146"/>
      <c r="T117" s="146"/>
      <c r="U117" s="146"/>
      <c r="V117" s="59"/>
      <c r="W117" s="33"/>
      <c r="X117" s="59"/>
      <c r="Y117" s="59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1"/>
      <c r="AU117" s="31"/>
      <c r="AV117" s="30"/>
      <c r="AW117" s="30"/>
      <c r="AX117" s="30"/>
      <c r="AY117" s="30"/>
      <c r="AZ117" s="31"/>
      <c r="BA117" s="31"/>
      <c r="BB117" s="31"/>
      <c r="BC117" s="30"/>
      <c r="BD117" s="30"/>
      <c r="BE117" s="34"/>
      <c r="BF117" s="34"/>
      <c r="BG117" s="30"/>
      <c r="BH117" s="31"/>
      <c r="BI117" s="31"/>
      <c r="BJ117" s="31"/>
      <c r="BK117" s="31"/>
      <c r="BL117" s="31"/>
      <c r="BM117" s="31"/>
      <c r="BN117" s="31"/>
      <c r="BO117" s="31"/>
      <c r="BP117" s="31"/>
      <c r="BQ117" s="30"/>
      <c r="BR117" s="31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7"/>
      <c r="CL117" s="7"/>
      <c r="CM117" s="20"/>
      <c r="CN117" s="2"/>
      <c r="CO117" s="185"/>
      <c r="CP117" s="2"/>
      <c r="CQ117" s="2"/>
      <c r="CR117" s="185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>
        <f t="shared" si="272"/>
      </c>
      <c r="DF117" s="2">
        <f t="shared" si="206"/>
      </c>
      <c r="DG117" s="129"/>
      <c r="DH117" s="2"/>
      <c r="DI117" s="2"/>
      <c r="DJ117" s="129"/>
      <c r="DK117" s="2"/>
      <c r="DL117" s="2"/>
      <c r="DM117" s="129"/>
      <c r="DN117" s="2">
        <f t="shared" si="210"/>
      </c>
      <c r="DO117" s="2">
        <f t="shared" si="211"/>
      </c>
      <c r="DP117" s="129">
        <f t="shared" si="311"/>
      </c>
      <c r="DQ117" s="2">
        <f t="shared" si="212"/>
      </c>
      <c r="DR117" s="2">
        <f t="shared" si="213"/>
      </c>
      <c r="DS117" s="129">
        <f t="shared" si="312"/>
      </c>
      <c r="DT117" s="2">
        <f t="shared" si="214"/>
      </c>
      <c r="DU117" s="2">
        <f t="shared" si="215"/>
      </c>
      <c r="DV117" s="129">
        <f t="shared" si="313"/>
      </c>
      <c r="DW117" s="2">
        <f t="shared" si="314"/>
      </c>
      <c r="DX117" s="2">
        <f t="shared" si="315"/>
      </c>
      <c r="DY117" s="129">
        <f t="shared" si="316"/>
      </c>
      <c r="DZ117" s="129"/>
      <c r="EA117" s="21"/>
      <c r="EB117" s="2"/>
      <c r="EC117" s="2"/>
      <c r="ED117" s="2"/>
      <c r="EE117" s="2"/>
      <c r="EF117" s="382"/>
      <c r="EG117" s="382"/>
      <c r="EH117" s="382"/>
      <c r="EI117" s="382"/>
      <c r="EJ117" s="208"/>
      <c r="EK117" s="2"/>
      <c r="EL117" s="2"/>
      <c r="EM117" s="34"/>
      <c r="EN117" s="34"/>
      <c r="EO117" s="34"/>
      <c r="EP117" s="213"/>
      <c r="EQ117" s="213"/>
      <c r="ER117" s="213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140"/>
      <c r="FD117" s="218"/>
      <c r="FE117" s="218"/>
      <c r="FF117" s="218"/>
      <c r="FG117" s="218"/>
      <c r="FH117" s="218"/>
      <c r="FI117" s="218"/>
      <c r="FJ117" s="218"/>
      <c r="FK117" s="328"/>
      <c r="FL117" s="328"/>
      <c r="FM117" s="328"/>
      <c r="FN117" s="328"/>
      <c r="FP117" s="328"/>
      <c r="FQ117" s="328"/>
      <c r="FR117" s="328"/>
      <c r="FS117" s="328"/>
      <c r="GF117" s="140"/>
      <c r="GG117" s="140"/>
      <c r="GH117" s="140"/>
      <c r="GJ117" s="218"/>
    </row>
    <row r="118" spans="1:192" s="137" customFormat="1" ht="16.5">
      <c r="A118" s="34"/>
      <c r="B118" s="59"/>
      <c r="C118" s="59"/>
      <c r="D118" s="32"/>
      <c r="E118" s="32"/>
      <c r="F118" s="32"/>
      <c r="G118" s="59"/>
      <c r="H118" s="145"/>
      <c r="I118" s="145"/>
      <c r="J118" s="59"/>
      <c r="K118" s="147"/>
      <c r="L118" s="147"/>
      <c r="M118" s="147"/>
      <c r="N118" s="566"/>
      <c r="O118" s="566"/>
      <c r="P118" s="566"/>
      <c r="Q118" s="566"/>
      <c r="R118" s="148"/>
      <c r="S118" s="146"/>
      <c r="T118" s="146"/>
      <c r="U118" s="146"/>
      <c r="V118" s="59"/>
      <c r="W118" s="33"/>
      <c r="X118" s="59"/>
      <c r="Y118" s="5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1"/>
      <c r="AU118" s="31"/>
      <c r="AV118" s="30"/>
      <c r="AW118" s="30"/>
      <c r="AX118" s="30"/>
      <c r="AY118" s="30"/>
      <c r="AZ118" s="31"/>
      <c r="BA118" s="31"/>
      <c r="BB118" s="31"/>
      <c r="BC118" s="30"/>
      <c r="BD118" s="30"/>
      <c r="BE118" s="34"/>
      <c r="BF118" s="34"/>
      <c r="BG118" s="30"/>
      <c r="BH118" s="31"/>
      <c r="BI118" s="31"/>
      <c r="BJ118" s="31"/>
      <c r="BK118" s="31"/>
      <c r="BL118" s="31"/>
      <c r="BM118" s="31"/>
      <c r="BN118" s="31"/>
      <c r="BO118" s="31"/>
      <c r="BP118" s="31"/>
      <c r="BQ118" s="30"/>
      <c r="BR118" s="31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7"/>
      <c r="CL118" s="7"/>
      <c r="CM118" s="20"/>
      <c r="CN118" s="2"/>
      <c r="CO118" s="185"/>
      <c r="CP118" s="2"/>
      <c r="CQ118" s="2"/>
      <c r="CR118" s="185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>
        <f t="shared" si="272"/>
      </c>
      <c r="DF118" s="2">
        <f t="shared" si="206"/>
      </c>
      <c r="DG118" s="129"/>
      <c r="DH118" s="2"/>
      <c r="DI118" s="2"/>
      <c r="DJ118" s="129"/>
      <c r="DK118" s="2"/>
      <c r="DL118" s="2"/>
      <c r="DM118" s="129"/>
      <c r="DN118" s="2">
        <f t="shared" si="210"/>
      </c>
      <c r="DO118" s="2">
        <f t="shared" si="211"/>
      </c>
      <c r="DP118" s="129">
        <f t="shared" si="311"/>
      </c>
      <c r="DQ118" s="2">
        <f t="shared" si="212"/>
      </c>
      <c r="DR118" s="2">
        <f t="shared" si="213"/>
      </c>
      <c r="DS118" s="129">
        <f t="shared" si="312"/>
      </c>
      <c r="DT118" s="2">
        <f t="shared" si="214"/>
      </c>
      <c r="DU118" s="2">
        <f t="shared" si="215"/>
      </c>
      <c r="DV118" s="129">
        <f t="shared" si="313"/>
      </c>
      <c r="DW118" s="2">
        <f t="shared" si="314"/>
      </c>
      <c r="DX118" s="2">
        <f t="shared" si="315"/>
      </c>
      <c r="DY118" s="129">
        <f t="shared" si="316"/>
      </c>
      <c r="DZ118" s="129"/>
      <c r="EA118" s="21"/>
      <c r="EB118" s="2"/>
      <c r="EC118" s="2"/>
      <c r="ED118" s="2"/>
      <c r="EE118" s="2"/>
      <c r="EF118" s="382"/>
      <c r="EG118" s="382"/>
      <c r="EH118" s="382"/>
      <c r="EI118" s="382"/>
      <c r="EJ118" s="208"/>
      <c r="EK118" s="2"/>
      <c r="EL118" s="2"/>
      <c r="EM118" s="34"/>
      <c r="EN118" s="34"/>
      <c r="EO118" s="34"/>
      <c r="EP118" s="213"/>
      <c r="EQ118" s="213"/>
      <c r="ER118" s="213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140"/>
      <c r="FD118" s="218"/>
      <c r="FE118" s="218"/>
      <c r="FF118" s="218"/>
      <c r="FG118" s="218"/>
      <c r="FH118" s="218"/>
      <c r="FI118" s="218"/>
      <c r="FJ118" s="218"/>
      <c r="FK118" s="328"/>
      <c r="FL118" s="328"/>
      <c r="FM118" s="328"/>
      <c r="FN118" s="328"/>
      <c r="FP118" s="328"/>
      <c r="FQ118" s="328"/>
      <c r="FR118" s="328"/>
      <c r="FS118" s="328"/>
      <c r="GF118" s="140"/>
      <c r="GG118" s="140"/>
      <c r="GH118" s="140"/>
      <c r="GJ118" s="218"/>
    </row>
    <row r="119" spans="1:192" s="137" customFormat="1" ht="16.5">
      <c r="A119" s="34"/>
      <c r="B119" s="59"/>
      <c r="C119" s="59"/>
      <c r="D119" s="32"/>
      <c r="E119" s="32"/>
      <c r="F119" s="32"/>
      <c r="G119" s="59"/>
      <c r="H119" s="145"/>
      <c r="I119" s="145"/>
      <c r="J119" s="59"/>
      <c r="K119" s="147"/>
      <c r="L119" s="147"/>
      <c r="M119" s="147"/>
      <c r="N119" s="566"/>
      <c r="O119" s="566"/>
      <c r="P119" s="566"/>
      <c r="Q119" s="566"/>
      <c r="R119" s="148"/>
      <c r="S119" s="146"/>
      <c r="T119" s="146"/>
      <c r="U119" s="146"/>
      <c r="V119" s="59"/>
      <c r="W119" s="33"/>
      <c r="X119" s="59"/>
      <c r="Y119" s="59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1"/>
      <c r="AU119" s="31"/>
      <c r="AV119" s="30"/>
      <c r="AW119" s="30"/>
      <c r="AX119" s="30"/>
      <c r="AY119" s="30"/>
      <c r="AZ119" s="31"/>
      <c r="BA119" s="31"/>
      <c r="BB119" s="31"/>
      <c r="BC119" s="30"/>
      <c r="BD119" s="30"/>
      <c r="BE119" s="34"/>
      <c r="BF119" s="34"/>
      <c r="BG119" s="30"/>
      <c r="BH119" s="31"/>
      <c r="BI119" s="31"/>
      <c r="BJ119" s="31"/>
      <c r="BK119" s="31"/>
      <c r="BL119" s="31"/>
      <c r="BM119" s="31"/>
      <c r="BN119" s="31"/>
      <c r="BO119" s="31"/>
      <c r="BP119" s="31"/>
      <c r="BQ119" s="30"/>
      <c r="BR119" s="31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7"/>
      <c r="CL119" s="7"/>
      <c r="CM119" s="20"/>
      <c r="CN119" s="2"/>
      <c r="CO119" s="185"/>
      <c r="CP119" s="2"/>
      <c r="CQ119" s="2"/>
      <c r="CR119" s="185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>
        <f t="shared" si="272"/>
      </c>
      <c r="DF119" s="2">
        <f t="shared" si="206"/>
      </c>
      <c r="DG119" s="129"/>
      <c r="DH119" s="2"/>
      <c r="DI119" s="2"/>
      <c r="DJ119" s="129"/>
      <c r="DK119" s="2"/>
      <c r="DL119" s="2"/>
      <c r="DM119" s="129"/>
      <c r="DN119" s="2">
        <f t="shared" si="210"/>
      </c>
      <c r="DO119" s="2">
        <f t="shared" si="211"/>
      </c>
      <c r="DP119" s="129">
        <f t="shared" si="311"/>
      </c>
      <c r="DQ119" s="2">
        <f t="shared" si="212"/>
      </c>
      <c r="DR119" s="2">
        <f t="shared" si="213"/>
      </c>
      <c r="DS119" s="129">
        <f t="shared" si="312"/>
      </c>
      <c r="DT119" s="2">
        <f t="shared" si="214"/>
      </c>
      <c r="DU119" s="2">
        <f t="shared" si="215"/>
      </c>
      <c r="DV119" s="129">
        <f t="shared" si="313"/>
      </c>
      <c r="DW119" s="2">
        <f t="shared" si="314"/>
      </c>
      <c r="DX119" s="2">
        <f t="shared" si="315"/>
      </c>
      <c r="DY119" s="129">
        <f t="shared" si="316"/>
      </c>
      <c r="DZ119" s="129"/>
      <c r="EA119" s="21"/>
      <c r="EB119" s="2"/>
      <c r="EC119" s="2"/>
      <c r="ED119" s="2"/>
      <c r="EE119" s="2"/>
      <c r="EF119" s="382"/>
      <c r="EG119" s="382"/>
      <c r="EH119" s="382"/>
      <c r="EI119" s="382"/>
      <c r="EJ119" s="208"/>
      <c r="EK119" s="2"/>
      <c r="EL119" s="2"/>
      <c r="EM119" s="34"/>
      <c r="EN119" s="34"/>
      <c r="EO119" s="34"/>
      <c r="EP119" s="213"/>
      <c r="EQ119" s="213"/>
      <c r="ER119" s="213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140"/>
      <c r="FD119" s="218"/>
      <c r="FE119" s="218"/>
      <c r="FF119" s="218"/>
      <c r="FG119" s="218"/>
      <c r="FH119" s="218"/>
      <c r="FI119" s="218"/>
      <c r="FJ119" s="218"/>
      <c r="FK119" s="328"/>
      <c r="FL119" s="328"/>
      <c r="FM119" s="328"/>
      <c r="FN119" s="328"/>
      <c r="FP119" s="328"/>
      <c r="FQ119" s="328"/>
      <c r="FR119" s="328"/>
      <c r="FS119" s="328"/>
      <c r="GF119" s="140"/>
      <c r="GG119" s="140"/>
      <c r="GH119" s="140"/>
      <c r="GJ119" s="218"/>
    </row>
    <row r="120" spans="1:192" s="137" customFormat="1" ht="16.5" hidden="1">
      <c r="A120" s="34"/>
      <c r="B120" s="59"/>
      <c r="C120" s="59"/>
      <c r="D120" s="32"/>
      <c r="E120" s="32"/>
      <c r="F120" s="32"/>
      <c r="G120" s="59"/>
      <c r="H120" s="145"/>
      <c r="I120" s="145"/>
      <c r="J120" s="59"/>
      <c r="K120" s="147"/>
      <c r="L120" s="147"/>
      <c r="M120" s="147"/>
      <c r="N120" s="566"/>
      <c r="O120" s="566"/>
      <c r="P120" s="566"/>
      <c r="Q120" s="566"/>
      <c r="R120" s="148"/>
      <c r="S120" s="146"/>
      <c r="T120" s="146"/>
      <c r="U120" s="146"/>
      <c r="V120" s="59"/>
      <c r="W120" s="33"/>
      <c r="X120" s="59"/>
      <c r="Y120" s="5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1"/>
      <c r="AU120" s="31"/>
      <c r="AV120" s="30"/>
      <c r="AW120" s="30"/>
      <c r="AX120" s="30"/>
      <c r="AY120" s="30"/>
      <c r="AZ120" s="31"/>
      <c r="BA120" s="31"/>
      <c r="BB120" s="31"/>
      <c r="BC120" s="30"/>
      <c r="BD120" s="30"/>
      <c r="BE120" s="34"/>
      <c r="BF120" s="34"/>
      <c r="BG120" s="30"/>
      <c r="BH120" s="31"/>
      <c r="BI120" s="31"/>
      <c r="BJ120" s="31"/>
      <c r="BK120" s="31"/>
      <c r="BL120" s="31"/>
      <c r="BM120" s="31"/>
      <c r="BN120" s="31"/>
      <c r="BO120" s="31"/>
      <c r="BP120" s="31"/>
      <c r="BQ120" s="30"/>
      <c r="BR120" s="31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7"/>
      <c r="CL120" s="7"/>
      <c r="CM120" s="20"/>
      <c r="CN120" s="2"/>
      <c r="CO120" s="185"/>
      <c r="CP120" s="2"/>
      <c r="CQ120" s="2"/>
      <c r="CR120" s="185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>
        <f t="shared" si="272"/>
      </c>
      <c r="DF120" s="2">
        <f t="shared" si="206"/>
      </c>
      <c r="DG120" s="129"/>
      <c r="DH120" s="2"/>
      <c r="DI120" s="2"/>
      <c r="DJ120" s="129"/>
      <c r="DK120" s="2"/>
      <c r="DL120" s="2"/>
      <c r="DM120" s="129"/>
      <c r="DN120" s="2">
        <f t="shared" si="210"/>
      </c>
      <c r="DO120" s="2">
        <f t="shared" si="211"/>
      </c>
      <c r="DP120" s="129">
        <f t="shared" si="311"/>
      </c>
      <c r="DQ120" s="2">
        <f t="shared" si="212"/>
      </c>
      <c r="DR120" s="2">
        <f t="shared" si="213"/>
      </c>
      <c r="DS120" s="129">
        <f t="shared" si="312"/>
      </c>
      <c r="DT120" s="2">
        <f t="shared" si="214"/>
      </c>
      <c r="DU120" s="2">
        <f t="shared" si="215"/>
      </c>
      <c r="DV120" s="129">
        <f t="shared" si="313"/>
      </c>
      <c r="DW120" s="2">
        <f t="shared" si="314"/>
      </c>
      <c r="DX120" s="2">
        <f t="shared" si="315"/>
      </c>
      <c r="DY120" s="129">
        <f t="shared" si="316"/>
      </c>
      <c r="DZ120" s="129"/>
      <c r="EA120" s="21"/>
      <c r="EB120" s="2"/>
      <c r="EC120" s="2"/>
      <c r="ED120" s="2"/>
      <c r="EE120" s="2"/>
      <c r="EF120" s="382"/>
      <c r="EG120" s="382"/>
      <c r="EH120" s="382"/>
      <c r="EI120" s="382"/>
      <c r="EJ120" s="208"/>
      <c r="EK120" s="2"/>
      <c r="EL120" s="2"/>
      <c r="EM120" s="34"/>
      <c r="EN120" s="34"/>
      <c r="EO120" s="34"/>
      <c r="EP120" s="213"/>
      <c r="EQ120" s="213"/>
      <c r="ER120" s="213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140"/>
      <c r="FD120" s="218"/>
      <c r="FE120" s="218"/>
      <c r="FF120" s="218"/>
      <c r="FG120" s="218"/>
      <c r="FH120" s="218"/>
      <c r="FI120" s="218"/>
      <c r="FJ120" s="218"/>
      <c r="FK120" s="328"/>
      <c r="FL120" s="328"/>
      <c r="FM120" s="328"/>
      <c r="FN120" s="328"/>
      <c r="FP120" s="328"/>
      <c r="FQ120" s="328"/>
      <c r="FR120" s="328"/>
      <c r="FS120" s="328"/>
      <c r="GF120" s="140"/>
      <c r="GG120" s="140"/>
      <c r="GH120" s="140"/>
      <c r="GJ120" s="218"/>
    </row>
    <row r="121" spans="1:190" s="251" customFormat="1" ht="14.25" customHeight="1" hidden="1">
      <c r="A121" s="238"/>
      <c r="B121" s="237"/>
      <c r="C121" s="237"/>
      <c r="D121" s="237"/>
      <c r="E121" s="237"/>
      <c r="F121" s="237"/>
      <c r="G121" s="237"/>
      <c r="H121" s="239"/>
      <c r="I121" s="239"/>
      <c r="J121" s="237"/>
      <c r="K121" s="240"/>
      <c r="L121" s="240"/>
      <c r="M121" s="240"/>
      <c r="N121" s="565"/>
      <c r="O121" s="565"/>
      <c r="P121" s="565"/>
      <c r="Q121" s="565"/>
      <c r="R121" s="241"/>
      <c r="S121" s="237"/>
      <c r="T121" s="237"/>
      <c r="U121" s="237"/>
      <c r="V121" s="237"/>
      <c r="W121" s="242"/>
      <c r="X121" s="237"/>
      <c r="Y121" s="237"/>
      <c r="Z121" s="237">
        <f aca="true" t="shared" si="317" ref="Z121:AF121">IF(ISERROR(MATCH("●",Z31:Z113,0))=TRUE,0,MATCH("●",Z31:Z113,0))</f>
        <v>0</v>
      </c>
      <c r="AA121" s="237">
        <f t="shared" si="317"/>
        <v>2</v>
      </c>
      <c r="AB121" s="317">
        <f t="shared" si="317"/>
        <v>6</v>
      </c>
      <c r="AC121" s="317">
        <f t="shared" si="317"/>
        <v>7</v>
      </c>
      <c r="AD121" s="317">
        <f t="shared" si="317"/>
        <v>8</v>
      </c>
      <c r="AE121" s="317">
        <f t="shared" si="317"/>
        <v>9</v>
      </c>
      <c r="AF121" s="237">
        <f t="shared" si="317"/>
        <v>10</v>
      </c>
      <c r="AG121" s="263">
        <f aca="true" t="shared" si="318" ref="AG121:AM121">IF(ISERROR(MATCH(-20%,AG31:AG113,0))=FALSE,MATCH(-20%,AG31:AG113,0),IF(ISERROR(MATCH(-16%,AG31:AG113,0))=FALSE,MATCH(-16%,AG31:AG113,0),IF(ISERROR(MATCH(-12%,AG31:AG113,0))=FALSE,MATCH(-12%,AG31:AG113,0),IF(ISERROR(MATCH(-8%,AG31:AG113,0))=FALSE,MATCH(-8%,AG31:AG113,0),IF(ISERROR(MATCH(-4%,AG31:AG113,0))=FALSE,MATCH(-4%,AG31:AG113,0),0)))))</f>
        <v>0</v>
      </c>
      <c r="AH121" s="263">
        <f t="shared" si="318"/>
        <v>0</v>
      </c>
      <c r="AI121" s="317">
        <f t="shared" si="318"/>
        <v>0</v>
      </c>
      <c r="AJ121" s="317">
        <f t="shared" si="318"/>
        <v>0</v>
      </c>
      <c r="AK121" s="317">
        <f t="shared" si="318"/>
        <v>0</v>
      </c>
      <c r="AL121" s="317">
        <f t="shared" si="318"/>
        <v>0</v>
      </c>
      <c r="AM121" s="263">
        <f t="shared" si="318"/>
        <v>17</v>
      </c>
      <c r="AN121" s="237"/>
      <c r="AO121" s="237"/>
      <c r="AP121" s="237"/>
      <c r="AQ121" s="237"/>
      <c r="AR121" s="237"/>
      <c r="AS121" s="237"/>
      <c r="AT121" s="243"/>
      <c r="AU121" s="243"/>
      <c r="AV121" s="244"/>
      <c r="AW121" s="244"/>
      <c r="AX121" s="244"/>
      <c r="AY121" s="244"/>
      <c r="AZ121" s="243"/>
      <c r="BA121" s="243"/>
      <c r="BB121" s="243"/>
      <c r="BC121" s="244"/>
      <c r="BD121" s="244"/>
      <c r="BE121" s="238"/>
      <c r="BF121" s="238"/>
      <c r="BG121" s="244"/>
      <c r="BH121" s="243"/>
      <c r="BI121" s="243"/>
      <c r="BJ121" s="243"/>
      <c r="BK121" s="243"/>
      <c r="BL121" s="243"/>
      <c r="BM121" s="243"/>
      <c r="BN121" s="243"/>
      <c r="BO121" s="243"/>
      <c r="BP121" s="243"/>
      <c r="BQ121" s="244"/>
      <c r="BR121" s="243"/>
      <c r="BS121" s="238"/>
      <c r="BT121" s="238"/>
      <c r="BU121" s="238"/>
      <c r="BV121" s="238"/>
      <c r="BW121" s="238"/>
      <c r="BX121" s="238"/>
      <c r="BY121" s="238"/>
      <c r="BZ121" s="238"/>
      <c r="CA121" s="238"/>
      <c r="CB121" s="238"/>
      <c r="CC121" s="238"/>
      <c r="CD121" s="238"/>
      <c r="CE121" s="238"/>
      <c r="CF121" s="238"/>
      <c r="CG121" s="238"/>
      <c r="CH121" s="238"/>
      <c r="CI121" s="238"/>
      <c r="CJ121" s="238"/>
      <c r="CK121" s="245"/>
      <c r="CL121" s="245"/>
      <c r="CM121" s="246"/>
      <c r="CN121" s="247"/>
      <c r="CO121" s="247"/>
      <c r="CP121" s="247"/>
      <c r="CQ121" s="247"/>
      <c r="CR121" s="247"/>
      <c r="CS121" s="247"/>
      <c r="CT121" s="247"/>
      <c r="CU121" s="247"/>
      <c r="CV121" s="247"/>
      <c r="CW121" s="247"/>
      <c r="CX121" s="247"/>
      <c r="CY121" s="247"/>
      <c r="CZ121" s="247"/>
      <c r="DA121" s="247"/>
      <c r="DB121" s="247"/>
      <c r="DC121" s="247"/>
      <c r="DD121" s="247"/>
      <c r="DE121" s="247">
        <f t="shared" si="272"/>
      </c>
      <c r="DF121" s="247">
        <f t="shared" si="206"/>
      </c>
      <c r="DG121" s="248"/>
      <c r="DH121" s="247"/>
      <c r="DI121" s="247"/>
      <c r="DJ121" s="248"/>
      <c r="DK121" s="247"/>
      <c r="DL121" s="247"/>
      <c r="DM121" s="248"/>
      <c r="DN121" s="247">
        <f t="shared" si="210"/>
      </c>
      <c r="DO121" s="247">
        <f t="shared" si="211"/>
      </c>
      <c r="DP121" s="248">
        <f t="shared" si="311"/>
      </c>
      <c r="DQ121" s="247">
        <f t="shared" si="212"/>
      </c>
      <c r="DR121" s="247">
        <f t="shared" si="213"/>
      </c>
      <c r="DS121" s="248">
        <f t="shared" si="312"/>
      </c>
      <c r="DT121" s="247">
        <f t="shared" si="214"/>
      </c>
      <c r="DU121" s="247">
        <f t="shared" si="215"/>
      </c>
      <c r="DV121" s="248">
        <f t="shared" si="313"/>
      </c>
      <c r="DW121" s="247">
        <f t="shared" si="314"/>
      </c>
      <c r="DX121" s="247">
        <f t="shared" si="315"/>
      </c>
      <c r="DY121" s="248">
        <f t="shared" si="316"/>
      </c>
      <c r="DZ121" s="248"/>
      <c r="EA121" s="249"/>
      <c r="EB121" s="247"/>
      <c r="EC121" s="247"/>
      <c r="ED121" s="247"/>
      <c r="EE121" s="247"/>
      <c r="EF121" s="383"/>
      <c r="EG121" s="383"/>
      <c r="EH121" s="383"/>
      <c r="EI121" s="383"/>
      <c r="EJ121" s="384"/>
      <c r="EK121" s="247"/>
      <c r="EL121" s="247"/>
      <c r="EM121" s="238"/>
      <c r="EN121" s="238"/>
      <c r="EO121" s="238"/>
      <c r="EP121" s="238"/>
      <c r="EQ121" s="238"/>
      <c r="ER121" s="238"/>
      <c r="ES121" s="238"/>
      <c r="ET121" s="238"/>
      <c r="EU121" s="238"/>
      <c r="EV121" s="238"/>
      <c r="EW121" s="238"/>
      <c r="EX121" s="238"/>
      <c r="EY121" s="238"/>
      <c r="EZ121" s="238"/>
      <c r="FA121" s="238"/>
      <c r="FB121" s="238"/>
      <c r="FC121" s="250"/>
      <c r="FK121" s="329"/>
      <c r="FL121" s="329"/>
      <c r="FM121" s="329"/>
      <c r="FN121" s="329"/>
      <c r="FP121" s="329"/>
      <c r="FQ121" s="329"/>
      <c r="FR121" s="329"/>
      <c r="FS121" s="329"/>
      <c r="GF121" s="250"/>
      <c r="GG121" s="250"/>
      <c r="GH121" s="250"/>
    </row>
    <row r="122" spans="1:190" s="251" customFormat="1" ht="14.25" customHeight="1" hidden="1">
      <c r="A122" s="238"/>
      <c r="B122" s="237"/>
      <c r="C122" s="237"/>
      <c r="D122" s="237"/>
      <c r="E122" s="237"/>
      <c r="F122" s="237"/>
      <c r="G122" s="237"/>
      <c r="H122" s="239"/>
      <c r="I122" s="239"/>
      <c r="J122" s="237"/>
      <c r="K122" s="240"/>
      <c r="L122" s="240"/>
      <c r="M122" s="240"/>
      <c r="N122" s="565"/>
      <c r="O122" s="565"/>
      <c r="P122" s="565"/>
      <c r="Q122" s="565"/>
      <c r="R122" s="237"/>
      <c r="S122" s="237"/>
      <c r="T122" s="237"/>
      <c r="U122" s="237"/>
      <c r="V122" s="237"/>
      <c r="W122" s="237"/>
      <c r="X122" s="237"/>
      <c r="Y122" s="237"/>
      <c r="Z122" s="237">
        <f aca="true" t="shared" si="319" ref="Z122:AM122">IF(Z121=0,"",INDEX($B$31:$B$113,Z121))</f>
      </c>
      <c r="AA122" s="400">
        <f t="shared" si="319"/>
        <v>107</v>
      </c>
      <c r="AB122" s="400">
        <f t="shared" si="319"/>
        <v>111</v>
      </c>
      <c r="AC122" s="400">
        <f t="shared" si="319"/>
        <v>112</v>
      </c>
      <c r="AD122" s="400">
        <f t="shared" si="319"/>
        <v>113</v>
      </c>
      <c r="AE122" s="400">
        <f t="shared" si="319"/>
        <v>114</v>
      </c>
      <c r="AF122" s="400">
        <f t="shared" si="319"/>
        <v>115</v>
      </c>
      <c r="AG122" s="400">
        <f t="shared" si="319"/>
      </c>
      <c r="AH122" s="400">
        <f t="shared" si="319"/>
      </c>
      <c r="AI122" s="400">
        <f t="shared" si="319"/>
      </c>
      <c r="AJ122" s="400">
        <f t="shared" si="319"/>
      </c>
      <c r="AK122" s="400">
        <f t="shared" si="319"/>
      </c>
      <c r="AL122" s="400">
        <f t="shared" si="319"/>
      </c>
      <c r="AM122" s="400">
        <f t="shared" si="319"/>
        <v>122</v>
      </c>
      <c r="AN122" s="237"/>
      <c r="AO122" s="237"/>
      <c r="AP122" s="237"/>
      <c r="AQ122" s="237"/>
      <c r="AR122" s="237"/>
      <c r="AS122" s="237"/>
      <c r="AT122" s="243"/>
      <c r="AU122" s="243"/>
      <c r="AV122" s="244"/>
      <c r="AW122" s="244"/>
      <c r="AX122" s="244"/>
      <c r="AY122" s="244"/>
      <c r="AZ122" s="243"/>
      <c r="BA122" s="243"/>
      <c r="BB122" s="243"/>
      <c r="BC122" s="244"/>
      <c r="BD122" s="244"/>
      <c r="BE122" s="238"/>
      <c r="BF122" s="238"/>
      <c r="BG122" s="244"/>
      <c r="BH122" s="243"/>
      <c r="BI122" s="243"/>
      <c r="BJ122" s="243"/>
      <c r="BK122" s="243"/>
      <c r="BL122" s="243"/>
      <c r="BM122" s="243"/>
      <c r="BN122" s="243"/>
      <c r="BO122" s="243"/>
      <c r="BP122" s="243"/>
      <c r="BQ122" s="244"/>
      <c r="BR122" s="243"/>
      <c r="BS122" s="238"/>
      <c r="BT122" s="238"/>
      <c r="BU122" s="238"/>
      <c r="BV122" s="238"/>
      <c r="BW122" s="238"/>
      <c r="BX122" s="238"/>
      <c r="BY122" s="238"/>
      <c r="BZ122" s="238"/>
      <c r="CA122" s="238"/>
      <c r="CB122" s="238"/>
      <c r="CC122" s="238"/>
      <c r="CD122" s="238"/>
      <c r="CE122" s="238"/>
      <c r="CF122" s="238"/>
      <c r="CG122" s="238"/>
      <c r="CH122" s="238"/>
      <c r="CI122" s="238"/>
      <c r="CJ122" s="238"/>
      <c r="CK122" s="245"/>
      <c r="CL122" s="245"/>
      <c r="CM122" s="246"/>
      <c r="CN122" s="247"/>
      <c r="CO122" s="247"/>
      <c r="CP122" s="247"/>
      <c r="CQ122" s="247"/>
      <c r="CR122" s="247"/>
      <c r="CS122" s="247"/>
      <c r="CT122" s="247"/>
      <c r="CU122" s="247"/>
      <c r="CV122" s="247"/>
      <c r="CW122" s="247"/>
      <c r="CX122" s="247"/>
      <c r="CY122" s="247"/>
      <c r="CZ122" s="247"/>
      <c r="DA122" s="247"/>
      <c r="DB122" s="247"/>
      <c r="DC122" s="247"/>
      <c r="DD122" s="247"/>
      <c r="DE122" s="247">
        <f t="shared" si="272"/>
      </c>
      <c r="DF122" s="247">
        <f t="shared" si="206"/>
      </c>
      <c r="DG122" s="248"/>
      <c r="DH122" s="247"/>
      <c r="DI122" s="247"/>
      <c r="DJ122" s="248"/>
      <c r="DK122" s="247"/>
      <c r="DL122" s="247"/>
      <c r="DM122" s="248"/>
      <c r="DN122" s="247">
        <f t="shared" si="210"/>
      </c>
      <c r="DO122" s="247">
        <f t="shared" si="211"/>
      </c>
      <c r="DP122" s="248">
        <f t="shared" si="311"/>
      </c>
      <c r="DQ122" s="247">
        <f t="shared" si="212"/>
      </c>
      <c r="DR122" s="247">
        <f t="shared" si="213"/>
      </c>
      <c r="DS122" s="248">
        <f t="shared" si="312"/>
      </c>
      <c r="DT122" s="247">
        <f t="shared" si="214"/>
      </c>
      <c r="DU122" s="247">
        <f t="shared" si="215"/>
      </c>
      <c r="DV122" s="248">
        <f t="shared" si="313"/>
      </c>
      <c r="DW122" s="247">
        <f t="shared" si="314"/>
      </c>
      <c r="DX122" s="247">
        <f t="shared" si="315"/>
      </c>
      <c r="DY122" s="248">
        <f t="shared" si="316"/>
      </c>
      <c r="DZ122" s="248"/>
      <c r="EA122" s="249"/>
      <c r="EB122" s="247"/>
      <c r="EC122" s="247"/>
      <c r="ED122" s="247"/>
      <c r="EE122" s="247"/>
      <c r="EF122" s="383"/>
      <c r="EG122" s="383"/>
      <c r="EH122" s="383"/>
      <c r="EI122" s="383"/>
      <c r="EJ122" s="384"/>
      <c r="EK122" s="247"/>
      <c r="EL122" s="247"/>
      <c r="EM122" s="238"/>
      <c r="EN122" s="238"/>
      <c r="EO122" s="238"/>
      <c r="EP122" s="238"/>
      <c r="EQ122" s="238"/>
      <c r="ER122" s="238"/>
      <c r="ES122" s="238"/>
      <c r="ET122" s="238"/>
      <c r="EU122" s="238"/>
      <c r="EV122" s="238"/>
      <c r="EW122" s="238"/>
      <c r="EX122" s="238"/>
      <c r="EY122" s="238"/>
      <c r="EZ122" s="238"/>
      <c r="FA122" s="238"/>
      <c r="FB122" s="238"/>
      <c r="FC122" s="250"/>
      <c r="FK122" s="329"/>
      <c r="FL122" s="329"/>
      <c r="FM122" s="329"/>
      <c r="FN122" s="329"/>
      <c r="FP122" s="329"/>
      <c r="FQ122" s="329"/>
      <c r="FR122" s="329"/>
      <c r="FS122" s="329"/>
      <c r="GF122" s="250"/>
      <c r="GG122" s="250"/>
      <c r="GH122" s="250"/>
    </row>
    <row r="123" spans="1:190" s="251" customFormat="1" ht="21" customHeight="1" hidden="1">
      <c r="A123" s="238"/>
      <c r="B123" s="257"/>
      <c r="C123" s="257"/>
      <c r="D123" s="257"/>
      <c r="E123" s="257"/>
      <c r="F123" s="257"/>
      <c r="G123" s="257"/>
      <c r="H123" s="239"/>
      <c r="I123" s="239"/>
      <c r="J123" s="257"/>
      <c r="K123" s="240"/>
      <c r="L123" s="240"/>
      <c r="M123" s="240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2" t="s">
        <v>119</v>
      </c>
      <c r="Z123" s="259">
        <f aca="true" t="shared" si="320" ref="Z123:AM123">IF(Z122="","",Z122&amp;"."&amp;$U$7&amp;"."&amp;$W$7)</f>
      </c>
      <c r="AA123" s="401" t="str">
        <f t="shared" si="320"/>
        <v>107.12.17</v>
      </c>
      <c r="AB123" s="401" t="str">
        <f t="shared" si="320"/>
        <v>111.12.17</v>
      </c>
      <c r="AC123" s="401" t="str">
        <f t="shared" si="320"/>
        <v>112.12.17</v>
      </c>
      <c r="AD123" s="401" t="str">
        <f t="shared" si="320"/>
        <v>113.12.17</v>
      </c>
      <c r="AE123" s="401" t="str">
        <f t="shared" si="320"/>
        <v>114.12.17</v>
      </c>
      <c r="AF123" s="401" t="str">
        <f t="shared" si="320"/>
        <v>115.12.17</v>
      </c>
      <c r="AG123" s="401">
        <f t="shared" si="320"/>
      </c>
      <c r="AH123" s="401">
        <f t="shared" si="320"/>
      </c>
      <c r="AI123" s="401">
        <f t="shared" si="320"/>
      </c>
      <c r="AJ123" s="401">
        <f t="shared" si="320"/>
      </c>
      <c r="AK123" s="401">
        <f t="shared" si="320"/>
      </c>
      <c r="AL123" s="401">
        <f t="shared" si="320"/>
      </c>
      <c r="AM123" s="401" t="str">
        <f t="shared" si="320"/>
        <v>122.12.17</v>
      </c>
      <c r="AN123" s="260"/>
      <c r="AO123" s="257"/>
      <c r="AP123" s="257"/>
      <c r="AQ123" s="257"/>
      <c r="AR123" s="257"/>
      <c r="AS123" s="257"/>
      <c r="AT123" s="243"/>
      <c r="AU123" s="243"/>
      <c r="AV123" s="244"/>
      <c r="AW123" s="244"/>
      <c r="AX123" s="244"/>
      <c r="AY123" s="244"/>
      <c r="AZ123" s="243"/>
      <c r="BA123" s="243"/>
      <c r="BB123" s="243"/>
      <c r="BC123" s="244"/>
      <c r="BD123" s="244"/>
      <c r="BE123" s="238"/>
      <c r="BF123" s="238"/>
      <c r="BG123" s="244"/>
      <c r="BH123" s="243"/>
      <c r="BI123" s="243"/>
      <c r="BJ123" s="243"/>
      <c r="BK123" s="243"/>
      <c r="BL123" s="243"/>
      <c r="BM123" s="243"/>
      <c r="BN123" s="243"/>
      <c r="BO123" s="243"/>
      <c r="BP123" s="243"/>
      <c r="BQ123" s="244"/>
      <c r="BR123" s="243"/>
      <c r="BS123" s="238"/>
      <c r="BT123" s="238"/>
      <c r="BU123" s="238"/>
      <c r="BV123" s="238"/>
      <c r="BW123" s="238"/>
      <c r="BX123" s="238"/>
      <c r="BY123" s="238"/>
      <c r="BZ123" s="238"/>
      <c r="CA123" s="238"/>
      <c r="CB123" s="238"/>
      <c r="CC123" s="238"/>
      <c r="CD123" s="238"/>
      <c r="CE123" s="238"/>
      <c r="CF123" s="238"/>
      <c r="CG123" s="238"/>
      <c r="CH123" s="238"/>
      <c r="CI123" s="238"/>
      <c r="CJ123" s="238"/>
      <c r="CK123" s="245"/>
      <c r="CL123" s="245"/>
      <c r="CM123" s="246"/>
      <c r="CN123" s="247"/>
      <c r="CO123" s="247"/>
      <c r="CP123" s="247"/>
      <c r="CQ123" s="247"/>
      <c r="CR123" s="247"/>
      <c r="CS123" s="247"/>
      <c r="CT123" s="247"/>
      <c r="CU123" s="247"/>
      <c r="CV123" s="247"/>
      <c r="CW123" s="247"/>
      <c r="CX123" s="247"/>
      <c r="CY123" s="247"/>
      <c r="CZ123" s="247"/>
      <c r="DA123" s="247"/>
      <c r="DB123" s="247"/>
      <c r="DC123" s="247"/>
      <c r="DD123" s="247"/>
      <c r="DE123" s="247"/>
      <c r="DF123" s="247"/>
      <c r="DG123" s="248"/>
      <c r="DH123" s="247"/>
      <c r="DI123" s="247"/>
      <c r="DJ123" s="248"/>
      <c r="DK123" s="247"/>
      <c r="DL123" s="247"/>
      <c r="DM123" s="248"/>
      <c r="DN123" s="247"/>
      <c r="DO123" s="247"/>
      <c r="DP123" s="248"/>
      <c r="DQ123" s="247"/>
      <c r="DR123" s="247"/>
      <c r="DS123" s="248"/>
      <c r="DT123" s="247"/>
      <c r="DU123" s="247"/>
      <c r="DV123" s="248"/>
      <c r="DW123" s="247"/>
      <c r="DX123" s="247"/>
      <c r="DY123" s="248"/>
      <c r="DZ123" s="248"/>
      <c r="EA123" s="249"/>
      <c r="EB123" s="247"/>
      <c r="EC123" s="247"/>
      <c r="ED123" s="247"/>
      <c r="EE123" s="247"/>
      <c r="EF123" s="383"/>
      <c r="EG123" s="383"/>
      <c r="EH123" s="383"/>
      <c r="EI123" s="383"/>
      <c r="EJ123" s="384"/>
      <c r="EK123" s="247"/>
      <c r="EL123" s="247"/>
      <c r="EM123" s="238"/>
      <c r="EN123" s="238"/>
      <c r="EO123" s="238"/>
      <c r="EP123" s="238"/>
      <c r="EQ123" s="238"/>
      <c r="ER123" s="238"/>
      <c r="ES123" s="238"/>
      <c r="ET123" s="238"/>
      <c r="EU123" s="238"/>
      <c r="EV123" s="238"/>
      <c r="EW123" s="238"/>
      <c r="EX123" s="238"/>
      <c r="EY123" s="238"/>
      <c r="EZ123" s="238"/>
      <c r="FA123" s="238"/>
      <c r="FB123" s="238"/>
      <c r="FC123" s="250"/>
      <c r="FK123" s="329"/>
      <c r="FL123" s="329"/>
      <c r="FM123" s="329"/>
      <c r="FN123" s="329"/>
      <c r="FP123" s="329"/>
      <c r="FQ123" s="329"/>
      <c r="FR123" s="329"/>
      <c r="FS123" s="329"/>
      <c r="GF123" s="250"/>
      <c r="GG123" s="250"/>
      <c r="GH123" s="250"/>
    </row>
    <row r="124" spans="1:190" s="251" customFormat="1" ht="21" customHeight="1" hidden="1">
      <c r="A124" s="238"/>
      <c r="B124" s="257"/>
      <c r="C124" s="257"/>
      <c r="D124" s="257"/>
      <c r="E124" s="257"/>
      <c r="F124" s="257"/>
      <c r="G124" s="257"/>
      <c r="H124" s="239"/>
      <c r="I124" s="239"/>
      <c r="J124" s="257"/>
      <c r="K124" s="240"/>
      <c r="L124" s="240"/>
      <c r="M124" s="240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2" t="s">
        <v>118</v>
      </c>
      <c r="Z124" s="259">
        <f aca="true" t="shared" si="321" ref="Z124:AM124">IF(Z122="","",Z122&amp;"."&amp;$AF$9&amp;"."&amp;$AG$9)</f>
      </c>
      <c r="AA124" s="401" t="str">
        <f t="shared" si="321"/>
        <v>107.12.13</v>
      </c>
      <c r="AB124" s="401" t="str">
        <f t="shared" si="321"/>
        <v>111.12.13</v>
      </c>
      <c r="AC124" s="401" t="str">
        <f t="shared" si="321"/>
        <v>112.12.13</v>
      </c>
      <c r="AD124" s="401" t="str">
        <f t="shared" si="321"/>
        <v>113.12.13</v>
      </c>
      <c r="AE124" s="401" t="str">
        <f t="shared" si="321"/>
        <v>114.12.13</v>
      </c>
      <c r="AF124" s="401" t="str">
        <f t="shared" si="321"/>
        <v>115.12.13</v>
      </c>
      <c r="AG124" s="401">
        <f t="shared" si="321"/>
      </c>
      <c r="AH124" s="401">
        <f t="shared" si="321"/>
      </c>
      <c r="AI124" s="401">
        <f t="shared" si="321"/>
      </c>
      <c r="AJ124" s="401">
        <f t="shared" si="321"/>
      </c>
      <c r="AK124" s="401">
        <f t="shared" si="321"/>
      </c>
      <c r="AL124" s="401">
        <f t="shared" si="321"/>
      </c>
      <c r="AM124" s="401" t="str">
        <f t="shared" si="321"/>
        <v>122.12.13</v>
      </c>
      <c r="AN124" s="260"/>
      <c r="AO124" s="257"/>
      <c r="AP124" s="257"/>
      <c r="AQ124" s="257"/>
      <c r="AR124" s="257"/>
      <c r="AS124" s="257"/>
      <c r="AT124" s="243"/>
      <c r="AU124" s="243"/>
      <c r="AV124" s="244"/>
      <c r="AW124" s="244"/>
      <c r="AX124" s="244"/>
      <c r="AY124" s="244"/>
      <c r="AZ124" s="243"/>
      <c r="BA124" s="243"/>
      <c r="BB124" s="243"/>
      <c r="BC124" s="244"/>
      <c r="BD124" s="244"/>
      <c r="BE124" s="238"/>
      <c r="BF124" s="238"/>
      <c r="BG124" s="244"/>
      <c r="BH124" s="243"/>
      <c r="BI124" s="243"/>
      <c r="BJ124" s="243"/>
      <c r="BK124" s="243"/>
      <c r="BL124" s="243"/>
      <c r="BM124" s="243"/>
      <c r="BN124" s="243"/>
      <c r="BO124" s="243"/>
      <c r="BP124" s="243"/>
      <c r="BQ124" s="244"/>
      <c r="BR124" s="243"/>
      <c r="BS124" s="238"/>
      <c r="BT124" s="238"/>
      <c r="BU124" s="238"/>
      <c r="BV124" s="238"/>
      <c r="BW124" s="238"/>
      <c r="BX124" s="238"/>
      <c r="BY124" s="238"/>
      <c r="BZ124" s="238"/>
      <c r="CA124" s="238"/>
      <c r="CB124" s="238"/>
      <c r="CC124" s="238"/>
      <c r="CD124" s="238"/>
      <c r="CE124" s="238"/>
      <c r="CF124" s="238"/>
      <c r="CG124" s="238"/>
      <c r="CH124" s="238"/>
      <c r="CI124" s="238"/>
      <c r="CJ124" s="238"/>
      <c r="CK124" s="245"/>
      <c r="CL124" s="245"/>
      <c r="CM124" s="246"/>
      <c r="CN124" s="247"/>
      <c r="CO124" s="247"/>
      <c r="CP124" s="247"/>
      <c r="CQ124" s="247"/>
      <c r="CR124" s="247"/>
      <c r="CS124" s="247"/>
      <c r="CT124" s="247"/>
      <c r="CU124" s="247"/>
      <c r="CV124" s="247"/>
      <c r="CW124" s="247"/>
      <c r="CX124" s="247"/>
      <c r="CY124" s="247"/>
      <c r="CZ124" s="247"/>
      <c r="DA124" s="247"/>
      <c r="DB124" s="247"/>
      <c r="DC124" s="247"/>
      <c r="DD124" s="247"/>
      <c r="DE124" s="247"/>
      <c r="DF124" s="247"/>
      <c r="DG124" s="248"/>
      <c r="DH124" s="247"/>
      <c r="DI124" s="247"/>
      <c r="DJ124" s="248"/>
      <c r="DK124" s="247"/>
      <c r="DL124" s="247"/>
      <c r="DM124" s="248"/>
      <c r="DN124" s="247"/>
      <c r="DO124" s="247"/>
      <c r="DP124" s="248"/>
      <c r="DQ124" s="247"/>
      <c r="DR124" s="247"/>
      <c r="DS124" s="248"/>
      <c r="DT124" s="247"/>
      <c r="DU124" s="247"/>
      <c r="DV124" s="248"/>
      <c r="DW124" s="247"/>
      <c r="DX124" s="247"/>
      <c r="DY124" s="248"/>
      <c r="DZ124" s="248"/>
      <c r="EA124" s="249"/>
      <c r="EB124" s="247"/>
      <c r="EC124" s="247"/>
      <c r="ED124" s="247"/>
      <c r="EE124" s="247"/>
      <c r="EF124" s="383"/>
      <c r="EG124" s="383"/>
      <c r="EH124" s="383"/>
      <c r="EI124" s="383"/>
      <c r="EJ124" s="384"/>
      <c r="EK124" s="247"/>
      <c r="EL124" s="247"/>
      <c r="EM124" s="238"/>
      <c r="EN124" s="238"/>
      <c r="EO124" s="238"/>
      <c r="EP124" s="238"/>
      <c r="EQ124" s="238"/>
      <c r="ER124" s="238"/>
      <c r="ES124" s="238"/>
      <c r="ET124" s="238"/>
      <c r="EU124" s="238"/>
      <c r="EV124" s="238"/>
      <c r="EW124" s="238"/>
      <c r="EX124" s="238"/>
      <c r="EY124" s="238"/>
      <c r="EZ124" s="238"/>
      <c r="FA124" s="238"/>
      <c r="FB124" s="238"/>
      <c r="FC124" s="250"/>
      <c r="FK124" s="329"/>
      <c r="FL124" s="329"/>
      <c r="FM124" s="329"/>
      <c r="FN124" s="329"/>
      <c r="FP124" s="329"/>
      <c r="FQ124" s="329"/>
      <c r="FR124" s="329"/>
      <c r="FS124" s="329"/>
      <c r="GF124" s="250"/>
      <c r="GG124" s="250"/>
      <c r="GH124" s="250"/>
    </row>
    <row r="125" spans="1:192" s="137" customFormat="1" ht="21" customHeight="1" hidden="1">
      <c r="A125" s="34"/>
      <c r="B125" s="54"/>
      <c r="C125" s="54"/>
      <c r="D125" s="26"/>
      <c r="E125" s="26"/>
      <c r="F125" s="26"/>
      <c r="G125" s="54"/>
      <c r="H125" s="133"/>
      <c r="I125" s="133"/>
      <c r="J125" s="54"/>
      <c r="K125" s="118"/>
      <c r="L125" s="118"/>
      <c r="M125" s="118"/>
      <c r="N125" s="564"/>
      <c r="O125" s="564"/>
      <c r="P125" s="564"/>
      <c r="Q125" s="564"/>
      <c r="R125" s="135"/>
      <c r="S125" s="134"/>
      <c r="T125" s="134"/>
      <c r="U125" s="134"/>
      <c r="V125" s="54"/>
      <c r="W125" s="136"/>
      <c r="X125" s="54"/>
      <c r="Y125" s="252" t="s">
        <v>114</v>
      </c>
      <c r="Z125" s="258">
        <f>IF(Z122="","",IF(Z123&gt;Z124,Z122&amp;"."&amp;$AF$9&amp;"."&amp;$AG$9,Z122&amp;"."&amp;$U$7&amp;"."&amp;$W$7))</f>
      </c>
      <c r="AA125" s="402" t="str">
        <f aca="true" t="shared" si="322" ref="AA125:AF125">IF(AA122="","",IF(DATE(AA122+1911,$U$7,$W$7)&lt;DATE(AA122,$AF$9,$AG$9),AA122&amp;"."&amp;$U$7&amp;"."&amp;$W$7,AA122&amp;"."&amp;$AF$9&amp;"."&amp;$AG$9))</f>
        <v>107.12.13</v>
      </c>
      <c r="AB125" s="402" t="str">
        <f t="shared" si="322"/>
        <v>111.12.13</v>
      </c>
      <c r="AC125" s="402" t="str">
        <f t="shared" si="322"/>
        <v>112.12.13</v>
      </c>
      <c r="AD125" s="402" t="str">
        <f t="shared" si="322"/>
        <v>113.12.13</v>
      </c>
      <c r="AE125" s="402" t="str">
        <f t="shared" si="322"/>
        <v>114.12.13</v>
      </c>
      <c r="AF125" s="402" t="str">
        <f t="shared" si="322"/>
        <v>115.12.13</v>
      </c>
      <c r="AG125" s="402">
        <f>IF(AG122="","",IF(DATE(AG122+1911,$U$7,$W$7)&gt;DATE(AG122,$AF$9,$AG$9),AG122&amp;"."&amp;$U$7&amp;"."&amp;$W$7,AG122&amp;"."&amp;$AF$9&amp;"."&amp;$AG$9))</f>
      </c>
      <c r="AH125" s="402">
        <f aca="true" t="shared" si="323" ref="AH125:AM125">IF(AH122="","",IF(DATE(AH122+1911,$U$7,$W$7)&lt;DATE(AH122,$AF$9,$AG$9),AH122&amp;"."&amp;$U$7&amp;"."&amp;$W$7,AH122&amp;"."&amp;$AF$9&amp;"."&amp;$AG$9))</f>
      </c>
      <c r="AI125" s="402">
        <f t="shared" si="323"/>
      </c>
      <c r="AJ125" s="402">
        <f t="shared" si="323"/>
      </c>
      <c r="AK125" s="402">
        <f t="shared" si="323"/>
      </c>
      <c r="AL125" s="402">
        <f t="shared" si="323"/>
      </c>
      <c r="AM125" s="402" t="str">
        <f t="shared" si="323"/>
        <v>122.12.13</v>
      </c>
      <c r="AN125" s="26"/>
      <c r="AO125" s="26"/>
      <c r="AP125" s="26"/>
      <c r="AQ125" s="26"/>
      <c r="AR125" s="26"/>
      <c r="AS125" s="26"/>
      <c r="AT125" s="27"/>
      <c r="AU125" s="27"/>
      <c r="AV125" s="138"/>
      <c r="AW125" s="138"/>
      <c r="AX125" s="138"/>
      <c r="AY125" s="138"/>
      <c r="AZ125" s="27"/>
      <c r="BA125" s="27"/>
      <c r="BB125" s="27"/>
      <c r="BC125" s="138"/>
      <c r="BD125" s="138"/>
      <c r="BG125" s="138"/>
      <c r="BH125" s="27"/>
      <c r="BI125" s="27"/>
      <c r="BJ125" s="27"/>
      <c r="BK125" s="27"/>
      <c r="BL125" s="27"/>
      <c r="BM125" s="27"/>
      <c r="BN125" s="27"/>
      <c r="BO125" s="27"/>
      <c r="BP125" s="27"/>
      <c r="BQ125" s="138"/>
      <c r="BR125" s="27"/>
      <c r="CK125" s="7"/>
      <c r="CL125" s="7"/>
      <c r="CM125" s="20"/>
      <c r="CN125" s="2"/>
      <c r="CO125" s="185"/>
      <c r="CP125" s="2"/>
      <c r="CQ125" s="2"/>
      <c r="CR125" s="185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>
        <f t="shared" si="272"/>
      </c>
      <c r="DF125" s="2">
        <f t="shared" si="206"/>
      </c>
      <c r="DG125" s="129"/>
      <c r="DH125" s="2"/>
      <c r="DI125" s="2"/>
      <c r="DJ125" s="129"/>
      <c r="DK125" s="2"/>
      <c r="DL125" s="2"/>
      <c r="DM125" s="129"/>
      <c r="DN125" s="2">
        <f aca="true" t="shared" si="324" ref="DN125:DN156">IF(AND(DA125=55,S125=55,T125=30),CY125,IF(AND(DA125=55,S125&gt;55,T125=30),CR125,IF(AND(DA125=55,S125=55,T125&gt;30),CO125,"")))</f>
      </c>
      <c r="DO125" s="2">
        <f aca="true" t="shared" si="325" ref="DO125:DO156">IF(AND(DA125=55,S125=55,T125=30),CX125,IF(AND(DA125=55,S125&gt;55,T125=30),CQ125,IF(AND(DA125=55,S125=55,T125&gt;30),CN125,"")))</f>
      </c>
      <c r="DP125" s="129">
        <f t="shared" si="311"/>
      </c>
      <c r="DQ125" s="2">
        <f aca="true" t="shared" si="326" ref="DQ125:DQ156">IF(AND(DA125=60,S125=60,T125=15),CY125,IF(AND(DA125=60,S125&gt;60,T125=15),CR125,IF(AND(DA125=60,S125=60,T125&gt;15),CO125,"")))</f>
      </c>
      <c r="DR125" s="2">
        <f aca="true" t="shared" si="327" ref="DR125:DR156">IF(AND(DA125=60,S125=60,T125=15),CX125,IF(AND(DA125=60,S125&gt;60,T125=15),CQ125,IF(AND(DA125=60,S125=60,T125&gt;15),CN125,"")))</f>
      </c>
      <c r="DS125" s="129">
        <f t="shared" si="312"/>
      </c>
      <c r="DT125" s="2">
        <f aca="true" t="shared" si="328" ref="DT125:DT156">IF(AND(DA125=85,S125=55,T125=30),CY125,IF(AND(DA125=85,S125&gt;55,T125=30),CR125,IF(AND(DA125=85,S125=55,T125&gt;30),CO125,IF(AND(DA125=85,S125=60,T125=15),CY125,IF(AND(DA125=85,S125&gt;60,T125=15),CR125,IF(AND(DA125=85,S125=60,T125&gt;15),CO125,""))))))</f>
      </c>
      <c r="DU125" s="2">
        <f aca="true" t="shared" si="329" ref="DU125:DU156">IF(AND(DA125=85,S125=55,T125=30),CX125,IF(AND(DA125=85,S125&gt;55,T125=30),CQ125,IF(AND(DA125=85,S125=55,T125&gt;30),CN125,IF(AND(DA125=85,S125=60,T125=15),CX125,IF(AND(DA125=85,S125&gt;60,T125=15),CQ125,IF(AND(DA125=85,S125=60,T125&gt;15),CN125,""))))))</f>
      </c>
      <c r="DV125" s="129">
        <f t="shared" si="313"/>
      </c>
      <c r="DW125" s="2">
        <f t="shared" si="314"/>
      </c>
      <c r="DX125" s="2">
        <f t="shared" si="315"/>
      </c>
      <c r="DY125" s="129">
        <f t="shared" si="316"/>
      </c>
      <c r="DZ125" s="129"/>
      <c r="EA125" s="21"/>
      <c r="EB125" s="2"/>
      <c r="EC125" s="2"/>
      <c r="ED125" s="2"/>
      <c r="EE125" s="2"/>
      <c r="EF125" s="382"/>
      <c r="EG125" s="382"/>
      <c r="EH125" s="382"/>
      <c r="EI125" s="382"/>
      <c r="EJ125" s="208"/>
      <c r="EK125" s="2"/>
      <c r="EL125" s="2"/>
      <c r="EP125" s="215"/>
      <c r="EQ125" s="215"/>
      <c r="ER125" s="215"/>
      <c r="FC125" s="140"/>
      <c r="FD125" s="218"/>
      <c r="FE125" s="218"/>
      <c r="FF125" s="218"/>
      <c r="FG125" s="218"/>
      <c r="FH125" s="218"/>
      <c r="FI125" s="218"/>
      <c r="FJ125" s="218"/>
      <c r="FK125" s="328"/>
      <c r="FL125" s="328"/>
      <c r="FM125" s="328"/>
      <c r="FN125" s="328"/>
      <c r="FP125" s="328"/>
      <c r="FQ125" s="328"/>
      <c r="FR125" s="328"/>
      <c r="FS125" s="328"/>
      <c r="GF125" s="140"/>
      <c r="GG125" s="140"/>
      <c r="GH125" s="140"/>
      <c r="GJ125" s="218"/>
    </row>
    <row r="126" spans="2:192" s="137" customFormat="1" ht="21" customHeight="1" hidden="1">
      <c r="B126" s="54"/>
      <c r="C126" s="54"/>
      <c r="D126" s="26"/>
      <c r="E126" s="26"/>
      <c r="F126" s="26"/>
      <c r="G126" s="54"/>
      <c r="H126" s="133"/>
      <c r="I126" s="133"/>
      <c r="J126" s="54"/>
      <c r="K126" s="118"/>
      <c r="L126" s="118"/>
      <c r="M126" s="118"/>
      <c r="N126" s="564"/>
      <c r="O126" s="564"/>
      <c r="P126" s="564"/>
      <c r="Q126" s="564"/>
      <c r="R126" s="135"/>
      <c r="S126" s="134"/>
      <c r="T126" s="134"/>
      <c r="U126" s="134"/>
      <c r="V126" s="54"/>
      <c r="W126" s="136"/>
      <c r="X126" s="54"/>
      <c r="Y126" s="252" t="s">
        <v>115</v>
      </c>
      <c r="Z126" s="258">
        <f>IF(Z122="","",IF(Z123&lt;=Z124,Z122&amp;"."&amp;$AF$9&amp;"."&amp;$AG$9&amp;"."&amp;$AM$9,Z122&amp;"."&amp;$U$7&amp;"."&amp;$W$7))</f>
      </c>
      <c r="AA126" s="402" t="str">
        <f aca="true" t="shared" si="330" ref="AA126:AF126">IF(AA122="","",IF(DATE(AA122+1911,$U$7,$W$7)&gt;DATE(AA122,$AF$9,$AG$9),AA122&amp;"."&amp;$U$7&amp;"."&amp;$W$7,AA122&amp;"."&amp;$AF$9&amp;"."&amp;$AG$9))</f>
        <v>107.12.17</v>
      </c>
      <c r="AB126" s="402" t="str">
        <f t="shared" si="330"/>
        <v>111.12.17</v>
      </c>
      <c r="AC126" s="402" t="str">
        <f t="shared" si="330"/>
        <v>112.12.17</v>
      </c>
      <c r="AD126" s="402" t="str">
        <f t="shared" si="330"/>
        <v>113.12.17</v>
      </c>
      <c r="AE126" s="402" t="str">
        <f t="shared" si="330"/>
        <v>114.12.17</v>
      </c>
      <c r="AF126" s="402" t="str">
        <f t="shared" si="330"/>
        <v>115.12.17</v>
      </c>
      <c r="AG126" s="402">
        <f>IF(AG122="","",IF(DATE(AG122+1911,$U$7,$W$7)&lt;DATE(AG122,$AF$9,$AG$9),AG122&amp;"."&amp;$U$7&amp;"."&amp;$W$7,AG122&amp;"."&amp;$AF$9&amp;"."&amp;$AG$9))</f>
      </c>
      <c r="AH126" s="402">
        <f aca="true" t="shared" si="331" ref="AH126:AM126">IF(AH122="","",IF(DATE(AH122+1911,$U$7,$W$7)&gt;DATE(AH122,$AF$9,$AG$9),AH122&amp;"."&amp;$U$7&amp;"."&amp;$W$7,AH122&amp;"."&amp;$AF$9&amp;"."&amp;$AG$9))</f>
      </c>
      <c r="AI126" s="402">
        <f t="shared" si="331"/>
      </c>
      <c r="AJ126" s="402">
        <f t="shared" si="331"/>
      </c>
      <c r="AK126" s="402">
        <f t="shared" si="331"/>
      </c>
      <c r="AL126" s="402">
        <f t="shared" si="331"/>
      </c>
      <c r="AM126" s="402" t="str">
        <f t="shared" si="331"/>
        <v>122.12.17</v>
      </c>
      <c r="AN126" s="26"/>
      <c r="AO126" s="26"/>
      <c r="AP126" s="26"/>
      <c r="AQ126" s="26"/>
      <c r="AR126" s="26"/>
      <c r="AS126" s="26"/>
      <c r="AT126" s="27"/>
      <c r="AU126" s="27"/>
      <c r="AV126" s="138"/>
      <c r="AW126" s="138"/>
      <c r="AX126" s="138"/>
      <c r="AY126" s="138"/>
      <c r="AZ126" s="27"/>
      <c r="BA126" s="27"/>
      <c r="BB126" s="27"/>
      <c r="BC126" s="138"/>
      <c r="BD126" s="138"/>
      <c r="BG126" s="138"/>
      <c r="BH126" s="27"/>
      <c r="BI126" s="27"/>
      <c r="BJ126" s="27"/>
      <c r="BK126" s="27"/>
      <c r="BL126" s="27"/>
      <c r="BM126" s="27"/>
      <c r="BN126" s="27"/>
      <c r="BO126" s="27"/>
      <c r="BP126" s="27"/>
      <c r="BQ126" s="138"/>
      <c r="BR126" s="27"/>
      <c r="CK126" s="7"/>
      <c r="CL126" s="7"/>
      <c r="CM126" s="20"/>
      <c r="CN126" s="2"/>
      <c r="CO126" s="185"/>
      <c r="CP126" s="2"/>
      <c r="CQ126" s="2"/>
      <c r="CR126" s="185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>
        <f t="shared" si="272"/>
      </c>
      <c r="DF126" s="2">
        <f t="shared" si="206"/>
      </c>
      <c r="DG126" s="129"/>
      <c r="DH126" s="2"/>
      <c r="DI126" s="2"/>
      <c r="DJ126" s="129"/>
      <c r="DK126" s="2"/>
      <c r="DL126" s="2"/>
      <c r="DM126" s="129"/>
      <c r="DN126" s="2">
        <f t="shared" si="324"/>
      </c>
      <c r="DO126" s="2">
        <f t="shared" si="325"/>
      </c>
      <c r="DP126" s="129">
        <f t="shared" si="311"/>
      </c>
      <c r="DQ126" s="2">
        <f t="shared" si="326"/>
      </c>
      <c r="DR126" s="2">
        <f t="shared" si="327"/>
      </c>
      <c r="DS126" s="129">
        <f t="shared" si="312"/>
      </c>
      <c r="DT126" s="2">
        <f t="shared" si="328"/>
      </c>
      <c r="DU126" s="2">
        <f t="shared" si="329"/>
      </c>
      <c r="DV126" s="129">
        <f t="shared" si="313"/>
      </c>
      <c r="DW126" s="2">
        <f t="shared" si="314"/>
      </c>
      <c r="DX126" s="2">
        <f t="shared" si="315"/>
      </c>
      <c r="DY126" s="129">
        <f t="shared" si="316"/>
      </c>
      <c r="DZ126" s="129"/>
      <c r="EA126" s="21"/>
      <c r="EB126" s="2"/>
      <c r="EC126" s="2"/>
      <c r="ED126" s="2"/>
      <c r="EE126" s="2"/>
      <c r="EF126" s="382"/>
      <c r="EG126" s="382"/>
      <c r="EH126" s="382"/>
      <c r="EI126" s="382"/>
      <c r="EJ126" s="208"/>
      <c r="EK126" s="2"/>
      <c r="EL126" s="2"/>
      <c r="EP126" s="215"/>
      <c r="EQ126" s="215"/>
      <c r="ER126" s="215"/>
      <c r="FC126" s="140"/>
      <c r="FD126" s="218"/>
      <c r="FE126" s="218"/>
      <c r="FF126" s="218"/>
      <c r="FG126" s="218"/>
      <c r="FH126" s="218"/>
      <c r="FI126" s="218"/>
      <c r="FJ126" s="218"/>
      <c r="FK126" s="328"/>
      <c r="FL126" s="328"/>
      <c r="FM126" s="328"/>
      <c r="FN126" s="328"/>
      <c r="FP126" s="328"/>
      <c r="FQ126" s="328"/>
      <c r="FR126" s="328"/>
      <c r="FS126" s="328"/>
      <c r="GF126" s="140"/>
      <c r="GG126" s="140"/>
      <c r="GH126" s="140"/>
      <c r="GJ126" s="218"/>
    </row>
    <row r="127" spans="2:192" s="137" customFormat="1" ht="16.5" customHeight="1" hidden="1">
      <c r="B127" s="54"/>
      <c r="C127" s="54"/>
      <c r="D127" s="26"/>
      <c r="E127" s="26"/>
      <c r="F127" s="26"/>
      <c r="G127" s="54"/>
      <c r="H127" s="133"/>
      <c r="I127" s="133"/>
      <c r="J127" s="54"/>
      <c r="K127" s="118"/>
      <c r="L127" s="118"/>
      <c r="M127" s="118"/>
      <c r="N127" s="564"/>
      <c r="O127" s="564"/>
      <c r="P127" s="564"/>
      <c r="Q127" s="564"/>
      <c r="R127" s="135"/>
      <c r="S127" s="134"/>
      <c r="T127" s="134"/>
      <c r="U127" s="134"/>
      <c r="V127" s="54"/>
      <c r="W127" s="136"/>
      <c r="X127" s="54"/>
      <c r="Y127" s="256" t="s">
        <v>116</v>
      </c>
      <c r="Z127" s="26">
        <f aca="true" t="shared" si="332" ref="Z127:AM127">IF(Z122="","",VLOOKUP(Z122,$B$31:$U$70,18,0))</f>
      </c>
      <c r="AA127" s="26">
        <f t="shared" si="332"/>
        <v>45</v>
      </c>
      <c r="AB127" s="26">
        <f t="shared" si="332"/>
        <v>49</v>
      </c>
      <c r="AC127" s="26">
        <f t="shared" si="332"/>
        <v>50</v>
      </c>
      <c r="AD127" s="26">
        <f t="shared" si="332"/>
        <v>51</v>
      </c>
      <c r="AE127" s="26">
        <f t="shared" si="332"/>
        <v>52</v>
      </c>
      <c r="AF127" s="26">
        <f t="shared" si="332"/>
        <v>53</v>
      </c>
      <c r="AG127" s="26">
        <f t="shared" si="332"/>
      </c>
      <c r="AH127" s="26">
        <f t="shared" si="332"/>
      </c>
      <c r="AI127" s="26">
        <f t="shared" si="332"/>
      </c>
      <c r="AJ127" s="26">
        <f t="shared" si="332"/>
      </c>
      <c r="AK127" s="26">
        <f t="shared" si="332"/>
      </c>
      <c r="AL127" s="26">
        <f t="shared" si="332"/>
      </c>
      <c r="AM127" s="26">
        <f t="shared" si="332"/>
        <v>60</v>
      </c>
      <c r="AN127" s="26"/>
      <c r="AO127" s="26"/>
      <c r="AP127" s="26"/>
      <c r="AQ127" s="26"/>
      <c r="AR127" s="26"/>
      <c r="AS127" s="26"/>
      <c r="AT127" s="27"/>
      <c r="AU127" s="27"/>
      <c r="AV127" s="138"/>
      <c r="AW127" s="138"/>
      <c r="AX127" s="138"/>
      <c r="AY127" s="138"/>
      <c r="AZ127" s="27"/>
      <c r="BA127" s="27"/>
      <c r="BB127" s="27"/>
      <c r="BC127" s="138"/>
      <c r="BD127" s="138"/>
      <c r="BG127" s="138"/>
      <c r="BH127" s="27"/>
      <c r="BI127" s="27"/>
      <c r="BJ127" s="27"/>
      <c r="BK127" s="27"/>
      <c r="BL127" s="27"/>
      <c r="BM127" s="27"/>
      <c r="BN127" s="27"/>
      <c r="BO127" s="27"/>
      <c r="BP127" s="27"/>
      <c r="BQ127" s="138"/>
      <c r="BR127" s="27"/>
      <c r="CK127" s="7"/>
      <c r="CL127" s="7"/>
      <c r="CM127" s="20"/>
      <c r="CN127" s="2"/>
      <c r="CO127" s="185"/>
      <c r="CP127" s="2"/>
      <c r="CQ127" s="2"/>
      <c r="CR127" s="185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>
        <f t="shared" si="272"/>
      </c>
      <c r="DF127" s="2">
        <f t="shared" si="206"/>
      </c>
      <c r="DG127" s="129"/>
      <c r="DH127" s="2"/>
      <c r="DI127" s="2"/>
      <c r="DJ127" s="129"/>
      <c r="DK127" s="2"/>
      <c r="DL127" s="2"/>
      <c r="DM127" s="129"/>
      <c r="DN127" s="2">
        <f t="shared" si="324"/>
      </c>
      <c r="DO127" s="2">
        <f t="shared" si="325"/>
      </c>
      <c r="DP127" s="129">
        <f t="shared" si="311"/>
      </c>
      <c r="DQ127" s="2">
        <f t="shared" si="326"/>
      </c>
      <c r="DR127" s="2">
        <f t="shared" si="327"/>
      </c>
      <c r="DS127" s="129">
        <f t="shared" si="312"/>
      </c>
      <c r="DT127" s="2">
        <f t="shared" si="328"/>
      </c>
      <c r="DU127" s="2">
        <f t="shared" si="329"/>
      </c>
      <c r="DV127" s="129">
        <f t="shared" si="313"/>
      </c>
      <c r="DW127" s="2">
        <f t="shared" si="314"/>
      </c>
      <c r="DX127" s="2">
        <f t="shared" si="315"/>
      </c>
      <c r="DY127" s="129">
        <f t="shared" si="316"/>
      </c>
      <c r="DZ127" s="129"/>
      <c r="EA127" s="21"/>
      <c r="EB127" s="2"/>
      <c r="EC127" s="2"/>
      <c r="ED127" s="2"/>
      <c r="EE127" s="2"/>
      <c r="EF127" s="382"/>
      <c r="EG127" s="382"/>
      <c r="EH127" s="382"/>
      <c r="EI127" s="382"/>
      <c r="EJ127" s="208"/>
      <c r="EK127" s="2"/>
      <c r="EL127" s="2"/>
      <c r="EP127" s="215"/>
      <c r="EQ127" s="215"/>
      <c r="ER127" s="215"/>
      <c r="FC127" s="140"/>
      <c r="FD127" s="218"/>
      <c r="FE127" s="218"/>
      <c r="FF127" s="218"/>
      <c r="FG127" s="218"/>
      <c r="FH127" s="218"/>
      <c r="FI127" s="218"/>
      <c r="FJ127" s="218"/>
      <c r="FK127" s="328"/>
      <c r="FL127" s="328"/>
      <c r="FM127" s="328"/>
      <c r="FN127" s="328"/>
      <c r="FP127" s="328"/>
      <c r="FQ127" s="328"/>
      <c r="FR127" s="328"/>
      <c r="FS127" s="328"/>
      <c r="GF127" s="140"/>
      <c r="GG127" s="140"/>
      <c r="GH127" s="140"/>
      <c r="GJ127" s="218"/>
    </row>
    <row r="128" spans="2:192" s="137" customFormat="1" ht="16.5" customHeight="1" hidden="1">
      <c r="B128" s="54"/>
      <c r="C128" s="54"/>
      <c r="D128" s="26"/>
      <c r="E128" s="26"/>
      <c r="F128" s="26"/>
      <c r="G128" s="54"/>
      <c r="H128" s="133"/>
      <c r="I128" s="133"/>
      <c r="J128" s="54"/>
      <c r="K128" s="118"/>
      <c r="L128" s="118"/>
      <c r="M128" s="118"/>
      <c r="N128" s="564"/>
      <c r="O128" s="564"/>
      <c r="P128" s="564"/>
      <c r="Q128" s="564"/>
      <c r="R128" s="135"/>
      <c r="S128" s="134"/>
      <c r="T128" s="134"/>
      <c r="U128" s="134"/>
      <c r="V128" s="54"/>
      <c r="W128" s="136"/>
      <c r="X128" s="54"/>
      <c r="Y128" s="256" t="s">
        <v>117</v>
      </c>
      <c r="Z128" s="26">
        <f aca="true" t="shared" si="333" ref="Z128:AM128">IF(Z122="","",VLOOKUP(Z122,$B$31:$U$70,19,0))</f>
      </c>
      <c r="AA128" s="26">
        <f t="shared" si="333"/>
        <v>25</v>
      </c>
      <c r="AB128" s="26">
        <f t="shared" si="333"/>
        <v>29</v>
      </c>
      <c r="AC128" s="26">
        <f t="shared" si="333"/>
        <v>30</v>
      </c>
      <c r="AD128" s="26">
        <f t="shared" si="333"/>
        <v>31</v>
      </c>
      <c r="AE128" s="26">
        <f t="shared" si="333"/>
        <v>32</v>
      </c>
      <c r="AF128" s="26">
        <f t="shared" si="333"/>
        <v>33</v>
      </c>
      <c r="AG128" s="26">
        <f t="shared" si="333"/>
      </c>
      <c r="AH128" s="26">
        <f t="shared" si="333"/>
      </c>
      <c r="AI128" s="26">
        <f t="shared" si="333"/>
      </c>
      <c r="AJ128" s="26">
        <f t="shared" si="333"/>
      </c>
      <c r="AK128" s="26">
        <f t="shared" si="333"/>
      </c>
      <c r="AL128" s="26">
        <f t="shared" si="333"/>
      </c>
      <c r="AM128" s="26">
        <f t="shared" si="333"/>
        <v>40</v>
      </c>
      <c r="AN128" s="26"/>
      <c r="AO128" s="26"/>
      <c r="AP128" s="26"/>
      <c r="AQ128" s="26"/>
      <c r="AR128" s="26"/>
      <c r="AS128" s="26"/>
      <c r="AT128" s="27"/>
      <c r="AU128" s="27"/>
      <c r="AV128" s="138"/>
      <c r="AW128" s="138"/>
      <c r="AX128" s="138"/>
      <c r="AY128" s="138"/>
      <c r="AZ128" s="27"/>
      <c r="BA128" s="27"/>
      <c r="BB128" s="27"/>
      <c r="BC128" s="138"/>
      <c r="BD128" s="138"/>
      <c r="BG128" s="138"/>
      <c r="BH128" s="27"/>
      <c r="BI128" s="27"/>
      <c r="BJ128" s="27"/>
      <c r="BK128" s="27"/>
      <c r="BL128" s="27"/>
      <c r="BM128" s="27"/>
      <c r="BN128" s="27"/>
      <c r="BO128" s="27"/>
      <c r="BP128" s="27"/>
      <c r="BQ128" s="138"/>
      <c r="BR128" s="27"/>
      <c r="CK128" s="7"/>
      <c r="CL128" s="7"/>
      <c r="CM128" s="20"/>
      <c r="CN128" s="2"/>
      <c r="CO128" s="185"/>
      <c r="CP128" s="2"/>
      <c r="CQ128" s="2"/>
      <c r="CR128" s="185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>
        <f t="shared" si="272"/>
      </c>
      <c r="DF128" s="2">
        <f t="shared" si="206"/>
      </c>
      <c r="DG128" s="129"/>
      <c r="DH128" s="2"/>
      <c r="DI128" s="2"/>
      <c r="DJ128" s="129"/>
      <c r="DK128" s="2"/>
      <c r="DL128" s="2"/>
      <c r="DM128" s="129"/>
      <c r="DN128" s="2">
        <f t="shared" si="324"/>
      </c>
      <c r="DO128" s="2">
        <f t="shared" si="325"/>
      </c>
      <c r="DP128" s="129">
        <f t="shared" si="311"/>
      </c>
      <c r="DQ128" s="2">
        <f t="shared" si="326"/>
      </c>
      <c r="DR128" s="2">
        <f t="shared" si="327"/>
      </c>
      <c r="DS128" s="129">
        <f t="shared" si="312"/>
      </c>
      <c r="DT128" s="2">
        <f t="shared" si="328"/>
      </c>
      <c r="DU128" s="2">
        <f t="shared" si="329"/>
      </c>
      <c r="DV128" s="129">
        <f t="shared" si="313"/>
      </c>
      <c r="DW128" s="2">
        <f t="shared" si="314"/>
      </c>
      <c r="DX128" s="2">
        <f t="shared" si="315"/>
      </c>
      <c r="DY128" s="129">
        <f t="shared" si="316"/>
      </c>
      <c r="DZ128" s="129"/>
      <c r="EA128" s="21"/>
      <c r="EB128" s="2"/>
      <c r="EC128" s="2"/>
      <c r="ED128" s="2"/>
      <c r="EE128" s="2"/>
      <c r="EF128" s="382"/>
      <c r="EG128" s="382"/>
      <c r="EH128" s="382"/>
      <c r="EI128" s="382"/>
      <c r="EJ128" s="208"/>
      <c r="EK128" s="2"/>
      <c r="EL128" s="2"/>
      <c r="EP128" s="215"/>
      <c r="EQ128" s="215"/>
      <c r="ER128" s="215"/>
      <c r="FC128" s="140"/>
      <c r="FD128" s="218"/>
      <c r="FE128" s="218"/>
      <c r="FF128" s="218"/>
      <c r="FG128" s="218"/>
      <c r="FH128" s="218"/>
      <c r="FI128" s="218"/>
      <c r="FJ128" s="218"/>
      <c r="FK128" s="328"/>
      <c r="FL128" s="328"/>
      <c r="FM128" s="328"/>
      <c r="FN128" s="328"/>
      <c r="FP128" s="328"/>
      <c r="FQ128" s="328"/>
      <c r="FR128" s="328"/>
      <c r="FS128" s="328"/>
      <c r="GF128" s="140"/>
      <c r="GG128" s="140"/>
      <c r="GH128" s="140"/>
      <c r="GJ128" s="218"/>
    </row>
    <row r="129" spans="2:192" s="137" customFormat="1" ht="16.5" customHeight="1" hidden="1">
      <c r="B129" s="54"/>
      <c r="C129" s="54"/>
      <c r="D129" s="26"/>
      <c r="E129" s="26"/>
      <c r="F129" s="26"/>
      <c r="G129" s="54"/>
      <c r="H129" s="133"/>
      <c r="I129" s="133"/>
      <c r="J129" s="54"/>
      <c r="K129" s="118"/>
      <c r="L129" s="118"/>
      <c r="M129" s="118"/>
      <c r="N129" s="564"/>
      <c r="O129" s="564"/>
      <c r="P129" s="564"/>
      <c r="Q129" s="564"/>
      <c r="R129" s="135"/>
      <c r="S129" s="134"/>
      <c r="T129" s="134"/>
      <c r="U129" s="134"/>
      <c r="V129" s="139"/>
      <c r="W129" s="139"/>
      <c r="X129" s="139"/>
      <c r="Y129" s="279" t="s">
        <v>125</v>
      </c>
      <c r="Z129" s="261" t="str">
        <f>IF(Z122="","無符合年度",IF(AND(Z127&gt;50,Z128&gt;30),Z125,IF(AND(Z127=50,Z128&gt;30),Z123,IF(AND(Z127&gt;50,Z128=30),Z124,IF(AND(Z127=50,Z128=30),Z126,"")))))</f>
        <v>無符合年度</v>
      </c>
      <c r="AA129" s="261">
        <f>IF(AA122="","無符合年度",IF(OR(AND(AA127&gt;=60,AA128&gt;=15),AND(AA127&gt;50,AA128&gt;25)),AA125,IF(OR(AND(AA127&gt;=60,AA128&gt;=15),AND(AA127=50,AA128&gt;25)),AA123,IF(OR(AND(AA127&gt;=60,AA128&gt;=15),AND(AA127&gt;50,AA128=25)),AA124,IF(OR(AND(AA127&gt;=60,AA128&gt;=15),AND(AA127=50,AA128=25)),AA126,"")))))</f>
      </c>
      <c r="AB129" s="261">
        <f>IF(AB122="","無符合年度",IF(OR(AND(AB127&gt;=60,AB128&gt;=15),AND(AB127&gt;50,AB128&gt;25)),AB125,IF(OR(AND(AB127&gt;=60,AB128&gt;=15),AND(AB127=50,AB128&gt;25)),AB123,IF(OR(AND(AB127&gt;=60,AB128&gt;=15),AND(AB127&gt;50,AB128=25)),AB124,IF(OR(AND(AB127&gt;=60,AB128&gt;=15),AND(AB127=50,AB128=25)),AB126,"")))))</f>
      </c>
      <c r="AC129" s="261" t="str">
        <f>IF(AC122="","無符合年度",IF(OR(AND(AC127&gt;=60,AC128&gt;=15),AND(AC127&gt;50,AC128&gt;25)),AC125,IF(OR(AND(AC127&gt;=60,AC128&gt;=15),AND(AC127=50,AC128&gt;25)),AC123,IF(OR(AND(AC127&gt;=60,AC128&gt;=15),AND(AC127&gt;50,AC128=25)),AC124,IF(OR(AND(AC127&gt;=60,AC128&gt;=15),AND(AC127=50,AC128=25)),AC126,"")))))</f>
        <v>112.12.17</v>
      </c>
      <c r="AD129" s="261" t="str">
        <f>IF(AD122="","無符合年度",IF(OR(AND(AD127&gt;=60,AD128&gt;=15),AND(AD127&gt;50,AD128&gt;25)),AD125,IF(OR(AND(AD127&gt;=60,AD128&gt;=15),AND(AD127=50,AD128&gt;25)),AD123,IF(OR(AND(AD127&gt;=60,AD128&gt;=15),AND(AD127&gt;50,AD128=25)),AD124,IF(OR(AND(AD127&gt;=60,AD128&gt;=15),AND(AD127=50,AD128=25)),AD126,"")))))</f>
        <v>113.12.13</v>
      </c>
      <c r="AE129" s="261" t="str">
        <f>IF(AE122="","無符合年度",IF(OR(AND(AE127&gt;=60,AE128&gt;=15),AND(AE127&gt;50,AE128&gt;25)),AE125,IF(OR(AND(AE127&gt;=60,AE128&gt;=15),AND(AE127=50,AE128&gt;25)),AE123,IF(OR(AND(AE127&gt;=60,AE128&gt;=15),AND(AE127&gt;50,AE128=25)),AE124,IF(OR(AND(AE127&gt;=60,AE128&gt;=15),AND(AE127=50,AE128=25)),AE126,"")))))</f>
        <v>114.12.13</v>
      </c>
      <c r="AF129" s="261" t="str">
        <f>IF(AF122="","無符合年度",IF(AND(AF127&gt;50,AF128&gt;25),AF125,IF(AND(AF127=50,AF128&gt;25),AF123,IF(AND(AF127&gt;50,AF128=25),AF124,IF(AND(AF127=50,AF128=25),AF126,"")))))</f>
        <v>115.12.13</v>
      </c>
      <c r="AG129" s="261" t="str">
        <f>IF(AG122="","無符合年度",IF(AND(AG127&gt;50,AG128&gt;30),AG125,IF(AND(AG127=50,AG128&gt;30),AG123,IF(AND(AG127&gt;50,AG128=30),AG124,IF(AND(AG127=50,AG128=30),AG126,"")))))</f>
        <v>無符合年度</v>
      </c>
      <c r="AH129" s="261" t="str">
        <f>IF(AH122="","無符合年度",IF(AND(AH127&gt;55,AH128&gt;25),AH125,IF(AND(AH127=55,AH128&gt;25),AH123,IF(AND(AH127&gt;55,AH128=25),AH124,IF(AND(AH127=55,AH128=25),AH126,"")))))</f>
        <v>無符合年度</v>
      </c>
      <c r="AI129" s="261" t="str">
        <f>IF(AI122="","無符合年度",IF(AND(AI127&gt;55,AI128&gt;25),AI125,IF(AND(AI127=55,AI128&gt;25),AI123,IF(AND(AI127&gt;55,AI128=25),AI124,IF(AND(AI127=55,AI128=25),AI126,"")))))</f>
        <v>無符合年度</v>
      </c>
      <c r="AJ129" s="261" t="str">
        <f>IF(AJ122="","無符合年度",IF(AND(AJ127&gt;55,AJ128&gt;25),AJ125,IF(AND(AJ127=55,AJ128&gt;25),AJ123,IF(AND(AJ127&gt;55,AJ128=25),AJ124,IF(AND(AJ127=55,AJ128=25),AJ126,"")))))</f>
        <v>無符合年度</v>
      </c>
      <c r="AK129" s="261" t="str">
        <f>IF(AK122="","無符合年度",IF(AND(AK127&gt;55,AK128&gt;25),AK125,IF(AND(AK127=55,AK128&gt;25),AK123,IF(AND(AK127&gt;55,AK128=25),AK124,IF(AND(AK127=55,AK128=25),AK126,"")))))</f>
        <v>無符合年度</v>
      </c>
      <c r="AL129" s="261" t="str">
        <f>IF(AL122="","無符合年度",IF(AND(AL127&gt;55,AL128&gt;25),AL125,IF(AND(AL127=55,AL128&gt;25),AL123,IF(AND(AL127&gt;55,AL128=25),AL124,IF(AND(AL127=55,AL128=25),AL126,"")))))</f>
        <v>無符合年度</v>
      </c>
      <c r="AM129" s="261" t="str">
        <f>IF(AM122="","無符合年度",IF(AND(AM127&gt;60,AM128&gt;15),AM125,IF(AND(AM127=60,AM128&gt;15),AM123,IF(AND(AM127&gt;60,AM128=15),AM124,IF(AND(AM127=60,AM128=15),AM126,"")))))</f>
        <v>122.12.17</v>
      </c>
      <c r="AP129" s="140"/>
      <c r="AQ129" s="140"/>
      <c r="AZ129" s="27"/>
      <c r="BA129" s="27"/>
      <c r="BB129" s="27"/>
      <c r="BH129" s="141"/>
      <c r="BI129" s="141"/>
      <c r="BJ129" s="141"/>
      <c r="BK129" s="141"/>
      <c r="BL129" s="141"/>
      <c r="BM129" s="141"/>
      <c r="BN129" s="141"/>
      <c r="BO129" s="141"/>
      <c r="BP129" s="141"/>
      <c r="CK129" s="7"/>
      <c r="CL129" s="7"/>
      <c r="CM129" s="20"/>
      <c r="CN129" s="2"/>
      <c r="CO129" s="185"/>
      <c r="CP129" s="2"/>
      <c r="CQ129" s="2"/>
      <c r="CR129" s="185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>
        <f t="shared" si="272"/>
      </c>
      <c r="DF129" s="2">
        <f t="shared" si="206"/>
      </c>
      <c r="DG129" s="129"/>
      <c r="DH129" s="2"/>
      <c r="DI129" s="2"/>
      <c r="DJ129" s="129"/>
      <c r="DK129" s="2"/>
      <c r="DL129" s="2"/>
      <c r="DM129" s="129"/>
      <c r="DN129" s="2">
        <f t="shared" si="324"/>
      </c>
      <c r="DO129" s="2">
        <f t="shared" si="325"/>
      </c>
      <c r="DP129" s="129">
        <f t="shared" si="311"/>
      </c>
      <c r="DQ129" s="2">
        <f t="shared" si="326"/>
      </c>
      <c r="DR129" s="2">
        <f t="shared" si="327"/>
      </c>
      <c r="DS129" s="129">
        <f t="shared" si="312"/>
      </c>
      <c r="DT129" s="2">
        <f t="shared" si="328"/>
      </c>
      <c r="DU129" s="2">
        <f t="shared" si="329"/>
      </c>
      <c r="DV129" s="129">
        <f t="shared" si="313"/>
      </c>
      <c r="DW129" s="2">
        <f t="shared" si="314"/>
      </c>
      <c r="DX129" s="2">
        <f t="shared" si="315"/>
      </c>
      <c r="DY129" s="129">
        <f t="shared" si="316"/>
      </c>
      <c r="DZ129" s="129"/>
      <c r="EA129" s="21"/>
      <c r="EB129" s="2"/>
      <c r="EC129" s="2"/>
      <c r="ED129" s="2"/>
      <c r="EE129" s="2"/>
      <c r="EF129" s="382"/>
      <c r="EG129" s="382"/>
      <c r="EH129" s="382"/>
      <c r="EI129" s="382"/>
      <c r="EJ129" s="208"/>
      <c r="EK129" s="2"/>
      <c r="EL129" s="2"/>
      <c r="EP129" s="215"/>
      <c r="EQ129" s="215"/>
      <c r="ER129" s="215"/>
      <c r="FC129" s="140"/>
      <c r="FD129" s="218"/>
      <c r="FE129" s="218"/>
      <c r="FF129" s="218"/>
      <c r="FG129" s="218"/>
      <c r="FH129" s="218"/>
      <c r="FI129" s="218"/>
      <c r="FJ129" s="218"/>
      <c r="FK129" s="328"/>
      <c r="FL129" s="328"/>
      <c r="FM129" s="328"/>
      <c r="FN129" s="328"/>
      <c r="FP129" s="328"/>
      <c r="FQ129" s="328"/>
      <c r="FR129" s="328"/>
      <c r="FS129" s="328"/>
      <c r="GF129" s="140"/>
      <c r="GG129" s="140"/>
      <c r="GH129" s="140"/>
      <c r="GJ129" s="218"/>
    </row>
    <row r="130" spans="2:192" s="137" customFormat="1" ht="16.5" customHeight="1" hidden="1">
      <c r="B130" s="54"/>
      <c r="C130" s="54"/>
      <c r="D130" s="26"/>
      <c r="E130" s="26"/>
      <c r="F130" s="26"/>
      <c r="G130" s="54"/>
      <c r="H130" s="133"/>
      <c r="I130" s="133"/>
      <c r="J130" s="54"/>
      <c r="K130" s="118"/>
      <c r="L130" s="118"/>
      <c r="M130" s="118"/>
      <c r="N130" s="564"/>
      <c r="O130" s="564"/>
      <c r="P130" s="564"/>
      <c r="Q130" s="564"/>
      <c r="R130" s="135"/>
      <c r="S130" s="134"/>
      <c r="T130" s="134"/>
      <c r="U130" s="134"/>
      <c r="V130" s="139"/>
      <c r="W130" s="139"/>
      <c r="X130" s="139"/>
      <c r="Y130" s="279" t="s">
        <v>126</v>
      </c>
      <c r="Z130" s="261" t="str">
        <f aca="true" t="shared" si="334" ref="Z130:AM130">IF(Z122="","無符合年度",Z122&amp;".1.1")</f>
        <v>無符合年度</v>
      </c>
      <c r="AA130" s="261" t="str">
        <f t="shared" si="334"/>
        <v>107.1.1</v>
      </c>
      <c r="AB130" s="261" t="str">
        <f t="shared" si="334"/>
        <v>111.1.1</v>
      </c>
      <c r="AC130" s="261" t="str">
        <f t="shared" si="334"/>
        <v>112.1.1</v>
      </c>
      <c r="AD130" s="261" t="str">
        <f t="shared" si="334"/>
        <v>113.1.1</v>
      </c>
      <c r="AE130" s="261" t="str">
        <f t="shared" si="334"/>
        <v>114.1.1</v>
      </c>
      <c r="AF130" s="261" t="str">
        <f t="shared" si="334"/>
        <v>115.1.1</v>
      </c>
      <c r="AG130" s="261" t="str">
        <f t="shared" si="334"/>
        <v>無符合年度</v>
      </c>
      <c r="AH130" s="261" t="str">
        <f t="shared" si="334"/>
        <v>無符合年度</v>
      </c>
      <c r="AI130" s="261" t="str">
        <f t="shared" si="334"/>
        <v>無符合年度</v>
      </c>
      <c r="AJ130" s="261" t="str">
        <f t="shared" si="334"/>
        <v>無符合年度</v>
      </c>
      <c r="AK130" s="261" t="str">
        <f t="shared" si="334"/>
        <v>無符合年度</v>
      </c>
      <c r="AL130" s="261" t="str">
        <f t="shared" si="334"/>
        <v>無符合年度</v>
      </c>
      <c r="AM130" s="261" t="str">
        <f t="shared" si="334"/>
        <v>122.1.1</v>
      </c>
      <c r="AP130" s="140"/>
      <c r="AQ130" s="140"/>
      <c r="AZ130" s="27"/>
      <c r="BA130" s="27"/>
      <c r="BB130" s="27"/>
      <c r="BH130" s="141"/>
      <c r="BI130" s="141"/>
      <c r="BJ130" s="141"/>
      <c r="BK130" s="141"/>
      <c r="BL130" s="141"/>
      <c r="BM130" s="141"/>
      <c r="BN130" s="141"/>
      <c r="BO130" s="141"/>
      <c r="BP130" s="141"/>
      <c r="CK130" s="7"/>
      <c r="CL130" s="7"/>
      <c r="CM130" s="20"/>
      <c r="CN130" s="2"/>
      <c r="CO130" s="185"/>
      <c r="CP130" s="2"/>
      <c r="CQ130" s="2"/>
      <c r="CR130" s="185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>
        <f t="shared" si="272"/>
      </c>
      <c r="DF130" s="2">
        <f t="shared" si="206"/>
      </c>
      <c r="DG130" s="129"/>
      <c r="DH130" s="2"/>
      <c r="DI130" s="2"/>
      <c r="DJ130" s="129"/>
      <c r="DK130" s="2"/>
      <c r="DL130" s="2"/>
      <c r="DM130" s="129"/>
      <c r="DN130" s="2">
        <f t="shared" si="324"/>
      </c>
      <c r="DO130" s="2">
        <f t="shared" si="325"/>
      </c>
      <c r="DP130" s="129">
        <f t="shared" si="311"/>
      </c>
      <c r="DQ130" s="2">
        <f t="shared" si="326"/>
      </c>
      <c r="DR130" s="2">
        <f t="shared" si="327"/>
      </c>
      <c r="DS130" s="129">
        <f t="shared" si="312"/>
      </c>
      <c r="DT130" s="2">
        <f t="shared" si="328"/>
      </c>
      <c r="DU130" s="2">
        <f t="shared" si="329"/>
      </c>
      <c r="DV130" s="129">
        <f t="shared" si="313"/>
      </c>
      <c r="DW130" s="2">
        <f t="shared" si="314"/>
      </c>
      <c r="DX130" s="2">
        <f t="shared" si="315"/>
      </c>
      <c r="DY130" s="129">
        <f t="shared" si="316"/>
      </c>
      <c r="DZ130" s="129"/>
      <c r="EA130" s="21"/>
      <c r="EB130" s="2"/>
      <c r="EC130" s="2"/>
      <c r="ED130" s="2"/>
      <c r="EE130" s="2"/>
      <c r="EF130" s="382"/>
      <c r="EG130" s="382"/>
      <c r="EH130" s="382"/>
      <c r="EI130" s="382"/>
      <c r="EJ130" s="208"/>
      <c r="EK130" s="2"/>
      <c r="EL130" s="2"/>
      <c r="EP130" s="215"/>
      <c r="EQ130" s="215"/>
      <c r="ER130" s="215"/>
      <c r="FC130" s="140"/>
      <c r="FD130" s="218"/>
      <c r="FE130" s="218"/>
      <c r="FF130" s="218"/>
      <c r="FG130" s="218"/>
      <c r="FH130" s="218"/>
      <c r="FI130" s="218"/>
      <c r="FJ130" s="218"/>
      <c r="FK130" s="328"/>
      <c r="FL130" s="328"/>
      <c r="FM130" s="328"/>
      <c r="FN130" s="328"/>
      <c r="FP130" s="328"/>
      <c r="FQ130" s="328"/>
      <c r="FR130" s="328"/>
      <c r="FS130" s="328"/>
      <c r="GF130" s="140"/>
      <c r="GG130" s="140"/>
      <c r="GH130" s="140"/>
      <c r="GJ130" s="218"/>
    </row>
    <row r="131" spans="2:192" s="137" customFormat="1" ht="16.5" customHeight="1" hidden="1">
      <c r="B131" s="54"/>
      <c r="C131" s="54"/>
      <c r="D131" s="26"/>
      <c r="E131" s="26"/>
      <c r="F131" s="26"/>
      <c r="G131" s="54"/>
      <c r="H131" s="133"/>
      <c r="I131" s="133"/>
      <c r="J131" s="54"/>
      <c r="K131" s="118"/>
      <c r="L131" s="118"/>
      <c r="M131" s="118"/>
      <c r="N131" s="564"/>
      <c r="O131" s="564"/>
      <c r="P131" s="564"/>
      <c r="Q131" s="564"/>
      <c r="R131" s="135"/>
      <c r="S131" s="134"/>
      <c r="T131" s="134"/>
      <c r="U131" s="134"/>
      <c r="V131" s="286"/>
      <c r="W131" s="286"/>
      <c r="X131" s="285" t="s">
        <v>134</v>
      </c>
      <c r="Y131" s="279" t="s">
        <v>127</v>
      </c>
      <c r="Z131" s="269" t="str">
        <f>IF(AND(Z127&gt;50,Z128&gt;30),Z130,Z129)</f>
        <v>無符合年度</v>
      </c>
      <c r="AA131" s="269">
        <f aca="true" t="shared" si="335" ref="AA131:AF131">IF(AND(AA127&gt;50,AA128&gt;25),AA130,AA129)</f>
      </c>
      <c r="AB131" s="269">
        <f t="shared" si="335"/>
      </c>
      <c r="AC131" s="269" t="str">
        <f t="shared" si="335"/>
        <v>112.12.17</v>
      </c>
      <c r="AD131" s="269" t="str">
        <f t="shared" si="335"/>
        <v>113.1.1</v>
      </c>
      <c r="AE131" s="269" t="str">
        <f t="shared" si="335"/>
        <v>114.1.1</v>
      </c>
      <c r="AF131" s="269" t="str">
        <f t="shared" si="335"/>
        <v>115.1.1</v>
      </c>
      <c r="AG131" s="269" t="str">
        <f>IF(AND(AG127&gt;50,AG128&gt;30),AG130,AG129)</f>
        <v>無符合年度</v>
      </c>
      <c r="AH131" s="269" t="str">
        <f>IF(AND(AH127&gt;55,AH128&gt;25),AH130,AH129)</f>
        <v>無符合年度</v>
      </c>
      <c r="AI131" s="269" t="str">
        <f>IF(AND(AI127&gt;55,AI128&gt;25),AI130,AI129)</f>
        <v>無符合年度</v>
      </c>
      <c r="AJ131" s="269" t="str">
        <f>IF(AND(AJ127&gt;55,AJ128&gt;25),AJ130,AJ129)</f>
        <v>無符合年度</v>
      </c>
      <c r="AK131" s="269" t="str">
        <f>IF(AND(AK127&gt;55,AK128&gt;25),AK130,AK129)</f>
        <v>無符合年度</v>
      </c>
      <c r="AL131" s="269" t="str">
        <f>IF(AND(AL127&gt;55,AL128&gt;25),AL130,AL129)</f>
        <v>無符合年度</v>
      </c>
      <c r="AM131" s="269" t="str">
        <f>IF(AND(AM127&gt;60,AM128&gt;25),AM130,AM129)</f>
        <v>122.12.17</v>
      </c>
      <c r="AP131" s="140"/>
      <c r="AQ131" s="140"/>
      <c r="AZ131" s="27"/>
      <c r="BA131" s="27"/>
      <c r="BB131" s="27"/>
      <c r="BH131" s="141"/>
      <c r="BI131" s="141"/>
      <c r="BJ131" s="141"/>
      <c r="BK131" s="141"/>
      <c r="BL131" s="141"/>
      <c r="BM131" s="141"/>
      <c r="BN131" s="141"/>
      <c r="BO131" s="141"/>
      <c r="BP131" s="141"/>
      <c r="CK131" s="7"/>
      <c r="CL131" s="7"/>
      <c r="CM131" s="20"/>
      <c r="CN131" s="2"/>
      <c r="CO131" s="185"/>
      <c r="CP131" s="2"/>
      <c r="CQ131" s="2"/>
      <c r="CR131" s="185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>
        <f t="shared" si="272"/>
      </c>
      <c r="DF131" s="2">
        <f t="shared" si="206"/>
      </c>
      <c r="DG131" s="129"/>
      <c r="DH131" s="2"/>
      <c r="DI131" s="2"/>
      <c r="DJ131" s="129"/>
      <c r="DK131" s="2"/>
      <c r="DL131" s="2"/>
      <c r="DM131" s="129"/>
      <c r="DN131" s="2">
        <f t="shared" si="324"/>
      </c>
      <c r="DO131" s="2">
        <f t="shared" si="325"/>
      </c>
      <c r="DP131" s="129">
        <f t="shared" si="311"/>
      </c>
      <c r="DQ131" s="2">
        <f t="shared" si="326"/>
      </c>
      <c r="DR131" s="2">
        <f t="shared" si="327"/>
      </c>
      <c r="DS131" s="129">
        <f t="shared" si="312"/>
      </c>
      <c r="DT131" s="2">
        <f t="shared" si="328"/>
      </c>
      <c r="DU131" s="2">
        <f t="shared" si="329"/>
      </c>
      <c r="DV131" s="129">
        <f t="shared" si="313"/>
      </c>
      <c r="DW131" s="2">
        <f t="shared" si="314"/>
      </c>
      <c r="DX131" s="2">
        <f t="shared" si="315"/>
      </c>
      <c r="DY131" s="129">
        <f t="shared" si="316"/>
      </c>
      <c r="DZ131" s="129"/>
      <c r="EA131" s="21"/>
      <c r="EB131" s="2"/>
      <c r="EC131" s="2"/>
      <c r="ED131" s="2"/>
      <c r="EE131" s="2"/>
      <c r="EF131" s="382"/>
      <c r="EG131" s="382"/>
      <c r="EH131" s="382"/>
      <c r="EI131" s="382"/>
      <c r="EJ131" s="208"/>
      <c r="EK131" s="2"/>
      <c r="EL131" s="2"/>
      <c r="EP131" s="215"/>
      <c r="EQ131" s="215"/>
      <c r="ER131" s="215"/>
      <c r="FC131" s="140"/>
      <c r="FD131" s="218"/>
      <c r="FE131" s="218"/>
      <c r="FF131" s="218"/>
      <c r="FG131" s="218"/>
      <c r="FH131" s="218"/>
      <c r="FI131" s="218"/>
      <c r="FJ131" s="218"/>
      <c r="FK131" s="328"/>
      <c r="FL131" s="328"/>
      <c r="FM131" s="328"/>
      <c r="FN131" s="328"/>
      <c r="FP131" s="328"/>
      <c r="FQ131" s="328"/>
      <c r="FR131" s="328"/>
      <c r="FS131" s="328"/>
      <c r="GF131" s="140"/>
      <c r="GG131" s="140"/>
      <c r="GH131" s="140"/>
      <c r="GJ131" s="218"/>
    </row>
    <row r="132" spans="2:192" s="137" customFormat="1" ht="16.5" customHeight="1" hidden="1">
      <c r="B132" s="54"/>
      <c r="C132" s="54"/>
      <c r="D132" s="26"/>
      <c r="E132" s="26"/>
      <c r="F132" s="26"/>
      <c r="G132" s="54"/>
      <c r="H132" s="133"/>
      <c r="I132" s="133"/>
      <c r="J132" s="54"/>
      <c r="K132" s="118"/>
      <c r="L132" s="118"/>
      <c r="M132" s="118"/>
      <c r="N132" s="564"/>
      <c r="O132" s="564"/>
      <c r="P132" s="564"/>
      <c r="Q132" s="564"/>
      <c r="R132" s="135"/>
      <c r="S132" s="134"/>
      <c r="T132" s="134"/>
      <c r="U132" s="134"/>
      <c r="V132" s="139"/>
      <c r="W132" s="139"/>
      <c r="X132" s="139"/>
      <c r="Y132" s="279" t="s">
        <v>128</v>
      </c>
      <c r="AG132" s="268">
        <f aca="true" t="shared" si="336" ref="AG132:AM132">IF(AG121=0,"","，減額"&amp;INDEX(AG31:AG113,AG121)*-100&amp;"%")</f>
      </c>
      <c r="AH132" s="268">
        <f t="shared" si="336"/>
      </c>
      <c r="AI132" s="268">
        <f t="shared" si="336"/>
      </c>
      <c r="AJ132" s="268">
        <f t="shared" si="336"/>
      </c>
      <c r="AK132" s="268">
        <f t="shared" si="336"/>
      </c>
      <c r="AL132" s="268">
        <f t="shared" si="336"/>
      </c>
      <c r="AM132" s="268" t="str">
        <f t="shared" si="336"/>
        <v>，減額20%</v>
      </c>
      <c r="AP132" s="140"/>
      <c r="AQ132" s="140"/>
      <c r="AZ132" s="27"/>
      <c r="BA132" s="27"/>
      <c r="BB132" s="27"/>
      <c r="BH132" s="141"/>
      <c r="BI132" s="141"/>
      <c r="BJ132" s="141"/>
      <c r="BK132" s="141"/>
      <c r="BL132" s="141"/>
      <c r="BM132" s="141"/>
      <c r="BN132" s="141"/>
      <c r="BO132" s="141"/>
      <c r="BP132" s="141"/>
      <c r="CK132" s="7"/>
      <c r="CL132" s="7"/>
      <c r="CM132" s="20"/>
      <c r="CN132" s="2"/>
      <c r="CO132" s="185"/>
      <c r="CP132" s="2"/>
      <c r="CQ132" s="2"/>
      <c r="CR132" s="185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>
        <f t="shared" si="272"/>
      </c>
      <c r="DF132" s="2">
        <f t="shared" si="206"/>
      </c>
      <c r="DG132" s="129"/>
      <c r="DH132" s="2"/>
      <c r="DI132" s="2"/>
      <c r="DJ132" s="129"/>
      <c r="DK132" s="2"/>
      <c r="DL132" s="2"/>
      <c r="DM132" s="129"/>
      <c r="DN132" s="2">
        <f t="shared" si="324"/>
      </c>
      <c r="DO132" s="2">
        <f t="shared" si="325"/>
      </c>
      <c r="DP132" s="129">
        <f t="shared" si="311"/>
      </c>
      <c r="DQ132" s="2">
        <f t="shared" si="326"/>
      </c>
      <c r="DR132" s="2">
        <f t="shared" si="327"/>
      </c>
      <c r="DS132" s="129">
        <f t="shared" si="312"/>
      </c>
      <c r="DT132" s="2">
        <f t="shared" si="328"/>
      </c>
      <c r="DU132" s="2">
        <f t="shared" si="329"/>
      </c>
      <c r="DV132" s="129">
        <f t="shared" si="313"/>
      </c>
      <c r="DW132" s="2">
        <f t="shared" si="314"/>
      </c>
      <c r="DX132" s="2">
        <f t="shared" si="315"/>
      </c>
      <c r="DY132" s="129">
        <f t="shared" si="316"/>
      </c>
      <c r="DZ132" s="129"/>
      <c r="EA132" s="21"/>
      <c r="EB132" s="2"/>
      <c r="EC132" s="2"/>
      <c r="ED132" s="2"/>
      <c r="EE132" s="2"/>
      <c r="EF132" s="382"/>
      <c r="EG132" s="382"/>
      <c r="EH132" s="382"/>
      <c r="EI132" s="382"/>
      <c r="EJ132" s="208"/>
      <c r="EK132" s="2"/>
      <c r="EL132" s="2"/>
      <c r="EP132" s="215"/>
      <c r="EQ132" s="215"/>
      <c r="ER132" s="215"/>
      <c r="FC132" s="140"/>
      <c r="FD132" s="218"/>
      <c r="FE132" s="218"/>
      <c r="FF132" s="218"/>
      <c r="FG132" s="218"/>
      <c r="FH132" s="218"/>
      <c r="FI132" s="218"/>
      <c r="FJ132" s="218"/>
      <c r="FK132" s="328"/>
      <c r="FL132" s="328"/>
      <c r="FM132" s="328"/>
      <c r="FN132" s="328"/>
      <c r="FP132" s="328"/>
      <c r="FQ132" s="328"/>
      <c r="FR132" s="328"/>
      <c r="FS132" s="328"/>
      <c r="GF132" s="140"/>
      <c r="GG132" s="140"/>
      <c r="GH132" s="140"/>
      <c r="GJ132" s="218"/>
    </row>
    <row r="133" spans="2:192" s="137" customFormat="1" ht="16.5" customHeight="1" hidden="1">
      <c r="B133" s="54"/>
      <c r="C133" s="54"/>
      <c r="D133" s="26"/>
      <c r="E133" s="26"/>
      <c r="F133" s="26"/>
      <c r="G133" s="54"/>
      <c r="H133" s="133"/>
      <c r="I133" s="133"/>
      <c r="J133" s="54"/>
      <c r="K133" s="118"/>
      <c r="L133" s="118"/>
      <c r="M133" s="118"/>
      <c r="N133" s="564"/>
      <c r="O133" s="564"/>
      <c r="P133" s="564"/>
      <c r="Q133" s="564"/>
      <c r="R133" s="135"/>
      <c r="S133" s="134"/>
      <c r="T133" s="134"/>
      <c r="U133" s="134"/>
      <c r="V133" s="139"/>
      <c r="W133" s="139"/>
      <c r="X133" s="139"/>
      <c r="Y133" s="306"/>
      <c r="Z133" s="307"/>
      <c r="AP133" s="140"/>
      <c r="AQ133" s="140"/>
      <c r="AZ133" s="27"/>
      <c r="BA133" s="27"/>
      <c r="BB133" s="27"/>
      <c r="BH133" s="141"/>
      <c r="BI133" s="141"/>
      <c r="BJ133" s="141"/>
      <c r="BK133" s="141"/>
      <c r="BL133" s="141"/>
      <c r="BM133" s="141"/>
      <c r="BN133" s="141"/>
      <c r="BO133" s="141"/>
      <c r="BP133" s="141"/>
      <c r="CK133" s="7"/>
      <c r="CL133" s="7"/>
      <c r="CM133" s="20"/>
      <c r="CN133" s="2"/>
      <c r="CO133" s="185"/>
      <c r="CP133" s="2"/>
      <c r="CQ133" s="2"/>
      <c r="CR133" s="185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>
        <f t="shared" si="272"/>
      </c>
      <c r="DF133" s="2">
        <f t="shared" si="206"/>
      </c>
      <c r="DG133" s="129"/>
      <c r="DH133" s="2"/>
      <c r="DI133" s="2"/>
      <c r="DJ133" s="129"/>
      <c r="DK133" s="2"/>
      <c r="DL133" s="2"/>
      <c r="DM133" s="129"/>
      <c r="DN133" s="2">
        <f t="shared" si="324"/>
      </c>
      <c r="DO133" s="2">
        <f t="shared" si="325"/>
      </c>
      <c r="DP133" s="129">
        <f t="shared" si="311"/>
      </c>
      <c r="DQ133" s="2">
        <f t="shared" si="326"/>
      </c>
      <c r="DR133" s="2">
        <f t="shared" si="327"/>
      </c>
      <c r="DS133" s="129">
        <f t="shared" si="312"/>
      </c>
      <c r="DT133" s="2">
        <f t="shared" si="328"/>
      </c>
      <c r="DU133" s="2">
        <f t="shared" si="329"/>
      </c>
      <c r="DV133" s="129">
        <f t="shared" si="313"/>
      </c>
      <c r="DW133" s="2">
        <f t="shared" si="314"/>
      </c>
      <c r="DX133" s="2">
        <f t="shared" si="315"/>
      </c>
      <c r="DY133" s="129">
        <f t="shared" si="316"/>
      </c>
      <c r="DZ133" s="129"/>
      <c r="EA133" s="21"/>
      <c r="EB133" s="2"/>
      <c r="EC133" s="2"/>
      <c r="ED133" s="2"/>
      <c r="EE133" s="2"/>
      <c r="EF133" s="382"/>
      <c r="EG133" s="382"/>
      <c r="EH133" s="382"/>
      <c r="EI133" s="382"/>
      <c r="EJ133" s="208"/>
      <c r="EK133" s="2"/>
      <c r="EL133" s="2"/>
      <c r="EP133" s="215"/>
      <c r="EQ133" s="215"/>
      <c r="ER133" s="215"/>
      <c r="FC133" s="140"/>
      <c r="FD133" s="218"/>
      <c r="FE133" s="218"/>
      <c r="FF133" s="218"/>
      <c r="FG133" s="218"/>
      <c r="FH133" s="218"/>
      <c r="FI133" s="218"/>
      <c r="FJ133" s="218"/>
      <c r="FK133" s="328"/>
      <c r="FL133" s="328"/>
      <c r="FM133" s="328"/>
      <c r="FN133" s="328"/>
      <c r="FP133" s="328"/>
      <c r="FQ133" s="328"/>
      <c r="FR133" s="328"/>
      <c r="FS133" s="328"/>
      <c r="GF133" s="140"/>
      <c r="GG133" s="140"/>
      <c r="GH133" s="140"/>
      <c r="GJ133" s="218"/>
    </row>
    <row r="134" spans="2:192" s="137" customFormat="1" ht="16.5" customHeight="1" hidden="1">
      <c r="B134" s="54"/>
      <c r="C134" s="54"/>
      <c r="D134" s="26"/>
      <c r="E134" s="26"/>
      <c r="F134" s="26"/>
      <c r="G134" s="54"/>
      <c r="H134" s="133"/>
      <c r="I134" s="133"/>
      <c r="J134" s="54"/>
      <c r="K134" s="118"/>
      <c r="L134" s="118"/>
      <c r="M134" s="118"/>
      <c r="N134" s="564"/>
      <c r="O134" s="564"/>
      <c r="P134" s="564"/>
      <c r="Q134" s="564"/>
      <c r="R134" s="135"/>
      <c r="S134" s="134"/>
      <c r="T134" s="134"/>
      <c r="U134" s="134"/>
      <c r="V134" s="139"/>
      <c r="W134" s="139"/>
      <c r="X134" s="139"/>
      <c r="Y134" s="306" t="s">
        <v>123</v>
      </c>
      <c r="Z134" s="308">
        <f>IF(AND(LEFT(EJ5,3)="106",U31-R31&gt;=2),DATE(LEFT(EJ5,3)+1911,1,1),IF(MID(EJ5,4,10)="."&amp;U7&amp;"."&amp;W7,DATE(VALUE(LEFT(EJ5,3))+1911,U7,W7),DATE(VALUE(LEFT(EJ5,3))+1911,AF9,AG9)))</f>
        <v>50756</v>
      </c>
      <c r="AA134" s="280"/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  <c r="AP134" s="140"/>
      <c r="AQ134" s="140"/>
      <c r="AZ134" s="27"/>
      <c r="BA134" s="27"/>
      <c r="BB134" s="27"/>
      <c r="BH134" s="141"/>
      <c r="BI134" s="141"/>
      <c r="BJ134" s="141"/>
      <c r="BK134" s="141"/>
      <c r="BL134" s="141"/>
      <c r="BM134" s="141"/>
      <c r="BN134" s="141"/>
      <c r="BO134" s="141"/>
      <c r="BP134" s="141"/>
      <c r="CK134" s="7"/>
      <c r="CL134" s="7"/>
      <c r="CM134" s="20"/>
      <c r="CN134" s="2"/>
      <c r="CO134" s="185"/>
      <c r="CP134" s="2"/>
      <c r="CQ134" s="2"/>
      <c r="CR134" s="185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>
        <f t="shared" si="272"/>
      </c>
      <c r="DF134" s="2">
        <f t="shared" si="206"/>
      </c>
      <c r="DG134" s="129"/>
      <c r="DH134" s="2"/>
      <c r="DI134" s="2"/>
      <c r="DJ134" s="129"/>
      <c r="DK134" s="2"/>
      <c r="DL134" s="2"/>
      <c r="DM134" s="129"/>
      <c r="DN134" s="2">
        <f t="shared" si="324"/>
      </c>
      <c r="DO134" s="2">
        <f t="shared" si="325"/>
      </c>
      <c r="DP134" s="129">
        <f t="shared" si="311"/>
      </c>
      <c r="DQ134" s="2">
        <f t="shared" si="326"/>
      </c>
      <c r="DR134" s="2">
        <f t="shared" si="327"/>
      </c>
      <c r="DS134" s="129">
        <f t="shared" si="312"/>
      </c>
      <c r="DT134" s="2">
        <f t="shared" si="328"/>
      </c>
      <c r="DU134" s="2">
        <f t="shared" si="329"/>
      </c>
      <c r="DV134" s="129">
        <f t="shared" si="313"/>
      </c>
      <c r="DW134" s="2">
        <f t="shared" si="314"/>
      </c>
      <c r="DX134" s="2">
        <f t="shared" si="315"/>
      </c>
      <c r="DY134" s="129">
        <f t="shared" si="316"/>
      </c>
      <c r="DZ134" s="129"/>
      <c r="EA134" s="21"/>
      <c r="EB134" s="2"/>
      <c r="EC134" s="2"/>
      <c r="ED134" s="2"/>
      <c r="EE134" s="2"/>
      <c r="EF134" s="382"/>
      <c r="EG134" s="382"/>
      <c r="EH134" s="382"/>
      <c r="EI134" s="382"/>
      <c r="EJ134" s="208"/>
      <c r="EK134" s="2"/>
      <c r="EL134" s="2"/>
      <c r="EP134" s="215"/>
      <c r="EQ134" s="215"/>
      <c r="ER134" s="215"/>
      <c r="FC134" s="140"/>
      <c r="FD134" s="218"/>
      <c r="FE134" s="218"/>
      <c r="FF134" s="218"/>
      <c r="FG134" s="218"/>
      <c r="FH134" s="218"/>
      <c r="FI134" s="218"/>
      <c r="FJ134" s="218"/>
      <c r="FK134" s="328"/>
      <c r="FL134" s="328"/>
      <c r="FM134" s="328"/>
      <c r="FN134" s="328"/>
      <c r="FP134" s="328"/>
      <c r="FQ134" s="328"/>
      <c r="FR134" s="328"/>
      <c r="FS134" s="328"/>
      <c r="GF134" s="140"/>
      <c r="GG134" s="140"/>
      <c r="GH134" s="140"/>
      <c r="GJ134" s="218"/>
    </row>
    <row r="135" spans="2:192" s="137" customFormat="1" ht="16.5" customHeight="1" hidden="1">
      <c r="B135" s="54"/>
      <c r="C135" s="54"/>
      <c r="D135" s="26"/>
      <c r="E135" s="26"/>
      <c r="F135" s="26"/>
      <c r="G135" s="54"/>
      <c r="H135" s="133"/>
      <c r="I135" s="133"/>
      <c r="J135" s="54"/>
      <c r="K135" s="118"/>
      <c r="L135" s="118"/>
      <c r="M135" s="118"/>
      <c r="N135" s="564"/>
      <c r="O135" s="564"/>
      <c r="P135" s="564"/>
      <c r="Q135" s="564"/>
      <c r="R135" s="135"/>
      <c r="S135" s="134"/>
      <c r="T135" s="134"/>
      <c r="U135" s="134"/>
      <c r="V135" s="139"/>
      <c r="W135" s="139"/>
      <c r="X135" s="139"/>
      <c r="Y135" s="279" t="s">
        <v>124</v>
      </c>
      <c r="Z135" s="281">
        <f aca="true" t="shared" si="337" ref="Z135:AM135">IF(Z131=Z123,DATE(Z122+1911,$U$7,$W$7),IF(Z131=Z124,DATE(Z122+1911,$AF$9,$AG$9),IF(Z131=Z122&amp;".1.1",DATE(Z122+1911,1,1),"")))</f>
      </c>
      <c r="AA135" s="281">
        <f t="shared" si="337"/>
      </c>
      <c r="AB135" s="281">
        <f t="shared" si="337"/>
      </c>
      <c r="AC135" s="281">
        <f t="shared" si="337"/>
        <v>45277</v>
      </c>
      <c r="AD135" s="281">
        <f t="shared" si="337"/>
        <v>45292</v>
      </c>
      <c r="AE135" s="281">
        <f t="shared" si="337"/>
        <v>45658</v>
      </c>
      <c r="AF135" s="281">
        <f t="shared" si="337"/>
        <v>46023</v>
      </c>
      <c r="AG135" s="281">
        <f t="shared" si="337"/>
      </c>
      <c r="AH135" s="281">
        <f t="shared" si="337"/>
      </c>
      <c r="AI135" s="281">
        <f t="shared" si="337"/>
      </c>
      <c r="AJ135" s="281">
        <f t="shared" si="337"/>
      </c>
      <c r="AK135" s="281">
        <f t="shared" si="337"/>
      </c>
      <c r="AL135" s="281">
        <f t="shared" si="337"/>
      </c>
      <c r="AM135" s="281">
        <f t="shared" si="337"/>
        <v>48930</v>
      </c>
      <c r="AP135" s="140"/>
      <c r="AQ135" s="140"/>
      <c r="AZ135" s="27"/>
      <c r="BA135" s="27"/>
      <c r="BB135" s="27"/>
      <c r="BH135" s="141"/>
      <c r="BI135" s="141"/>
      <c r="BJ135" s="141"/>
      <c r="BK135" s="141"/>
      <c r="BL135" s="141"/>
      <c r="BM135" s="141"/>
      <c r="BN135" s="141"/>
      <c r="BO135" s="141"/>
      <c r="BP135" s="141"/>
      <c r="CK135" s="7"/>
      <c r="CL135" s="7"/>
      <c r="CM135" s="20"/>
      <c r="CN135" s="2"/>
      <c r="CO135" s="185"/>
      <c r="CP135" s="2"/>
      <c r="CQ135" s="2"/>
      <c r="CR135" s="185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>
        <f t="shared" si="272"/>
      </c>
      <c r="DF135" s="2">
        <f t="shared" si="206"/>
      </c>
      <c r="DG135" s="129"/>
      <c r="DH135" s="2"/>
      <c r="DI135" s="2"/>
      <c r="DJ135" s="129"/>
      <c r="DK135" s="2"/>
      <c r="DL135" s="2"/>
      <c r="DM135" s="129"/>
      <c r="DN135" s="2">
        <f t="shared" si="324"/>
      </c>
      <c r="DO135" s="2">
        <f t="shared" si="325"/>
      </c>
      <c r="DP135" s="129">
        <f t="shared" si="311"/>
      </c>
      <c r="DQ135" s="2">
        <f t="shared" si="326"/>
      </c>
      <c r="DR135" s="2">
        <f t="shared" si="327"/>
      </c>
      <c r="DS135" s="129">
        <f t="shared" si="312"/>
      </c>
      <c r="DT135" s="2">
        <f t="shared" si="328"/>
      </c>
      <c r="DU135" s="2">
        <f t="shared" si="329"/>
      </c>
      <c r="DV135" s="129">
        <f t="shared" si="313"/>
      </c>
      <c r="DW135" s="2">
        <f t="shared" si="314"/>
      </c>
      <c r="DX135" s="2">
        <f t="shared" si="315"/>
      </c>
      <c r="DY135" s="129">
        <f t="shared" si="316"/>
      </c>
      <c r="DZ135" s="129"/>
      <c r="EA135" s="21"/>
      <c r="EB135" s="2"/>
      <c r="EC135" s="2"/>
      <c r="ED135" s="2"/>
      <c r="EE135" s="2"/>
      <c r="EF135" s="382"/>
      <c r="EG135" s="382"/>
      <c r="EH135" s="382"/>
      <c r="EI135" s="382"/>
      <c r="EJ135" s="208"/>
      <c r="EK135" s="2"/>
      <c r="EL135" s="2"/>
      <c r="EP135" s="215"/>
      <c r="EQ135" s="215"/>
      <c r="ER135" s="215"/>
      <c r="FC135" s="140"/>
      <c r="FD135" s="218"/>
      <c r="FE135" s="218"/>
      <c r="FF135" s="218"/>
      <c r="FG135" s="218"/>
      <c r="FH135" s="218"/>
      <c r="FI135" s="218"/>
      <c r="FJ135" s="218"/>
      <c r="FK135" s="328"/>
      <c r="FL135" s="328"/>
      <c r="FM135" s="328"/>
      <c r="FN135" s="328"/>
      <c r="FP135" s="328"/>
      <c r="FQ135" s="328"/>
      <c r="FR135" s="328"/>
      <c r="FS135" s="328"/>
      <c r="GF135" s="140"/>
      <c r="GG135" s="140"/>
      <c r="GH135" s="140"/>
      <c r="GJ135" s="218"/>
    </row>
    <row r="136" spans="2:192" s="137" customFormat="1" ht="16.5" customHeight="1" hidden="1">
      <c r="B136" s="54"/>
      <c r="C136" s="54"/>
      <c r="D136" s="26"/>
      <c r="E136" s="26"/>
      <c r="F136" s="26"/>
      <c r="G136" s="54"/>
      <c r="H136" s="133"/>
      <c r="I136" s="133"/>
      <c r="J136" s="54"/>
      <c r="K136" s="118"/>
      <c r="L136" s="118"/>
      <c r="M136" s="118"/>
      <c r="N136" s="564"/>
      <c r="O136" s="564"/>
      <c r="P136" s="564"/>
      <c r="Q136" s="564"/>
      <c r="R136" s="135"/>
      <c r="S136" s="134"/>
      <c r="T136" s="134"/>
      <c r="U136" s="134"/>
      <c r="V136" s="286"/>
      <c r="W136" s="286"/>
      <c r="X136" s="285" t="s">
        <v>134</v>
      </c>
      <c r="Y136" s="139"/>
      <c r="Z136" s="140">
        <f aca="true" t="shared" si="338" ref="Z136:AM136">IF(Z122="",0,IF($Z$134&gt;Z135,2,1))</f>
        <v>0</v>
      </c>
      <c r="AA136" s="140">
        <f t="shared" si="338"/>
        <v>1</v>
      </c>
      <c r="AB136" s="140">
        <f t="shared" si="338"/>
        <v>1</v>
      </c>
      <c r="AC136" s="140">
        <f t="shared" si="338"/>
        <v>2</v>
      </c>
      <c r="AD136" s="140">
        <f t="shared" si="338"/>
        <v>2</v>
      </c>
      <c r="AE136" s="140">
        <f t="shared" si="338"/>
        <v>2</v>
      </c>
      <c r="AF136" s="140">
        <f t="shared" si="338"/>
        <v>2</v>
      </c>
      <c r="AG136" s="140">
        <f t="shared" si="338"/>
        <v>0</v>
      </c>
      <c r="AH136" s="140">
        <f t="shared" si="338"/>
        <v>0</v>
      </c>
      <c r="AI136" s="140">
        <f t="shared" si="338"/>
        <v>0</v>
      </c>
      <c r="AJ136" s="140">
        <f t="shared" si="338"/>
        <v>0</v>
      </c>
      <c r="AK136" s="140">
        <f t="shared" si="338"/>
        <v>0</v>
      </c>
      <c r="AL136" s="140">
        <f t="shared" si="338"/>
        <v>0</v>
      </c>
      <c r="AM136" s="140">
        <f t="shared" si="338"/>
        <v>2</v>
      </c>
      <c r="AP136" s="140"/>
      <c r="AQ136" s="140"/>
      <c r="AZ136" s="27"/>
      <c r="BA136" s="27"/>
      <c r="BB136" s="27"/>
      <c r="BH136" s="141"/>
      <c r="BI136" s="141"/>
      <c r="BJ136" s="141"/>
      <c r="BK136" s="141"/>
      <c r="BL136" s="141"/>
      <c r="BM136" s="141"/>
      <c r="BN136" s="141"/>
      <c r="BO136" s="141"/>
      <c r="BP136" s="141"/>
      <c r="CK136" s="7"/>
      <c r="CL136" s="7"/>
      <c r="CM136" s="20"/>
      <c r="CN136" s="2"/>
      <c r="CO136" s="185"/>
      <c r="CP136" s="2"/>
      <c r="CQ136" s="2"/>
      <c r="CR136" s="185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>
        <f t="shared" si="272"/>
      </c>
      <c r="DF136" s="2">
        <f t="shared" si="206"/>
      </c>
      <c r="DG136" s="129"/>
      <c r="DH136" s="2"/>
      <c r="DI136" s="2"/>
      <c r="DJ136" s="129"/>
      <c r="DK136" s="2"/>
      <c r="DL136" s="2"/>
      <c r="DM136" s="129"/>
      <c r="DN136" s="2">
        <f t="shared" si="324"/>
      </c>
      <c r="DO136" s="2">
        <f t="shared" si="325"/>
      </c>
      <c r="DP136" s="129">
        <f t="shared" si="311"/>
      </c>
      <c r="DQ136" s="2">
        <f t="shared" si="326"/>
      </c>
      <c r="DR136" s="2">
        <f t="shared" si="327"/>
      </c>
      <c r="DS136" s="129">
        <f t="shared" si="312"/>
      </c>
      <c r="DT136" s="2">
        <f t="shared" si="328"/>
      </c>
      <c r="DU136" s="2">
        <f t="shared" si="329"/>
      </c>
      <c r="DV136" s="129">
        <f t="shared" si="313"/>
      </c>
      <c r="DW136" s="2">
        <f t="shared" si="314"/>
      </c>
      <c r="DX136" s="2">
        <f t="shared" si="315"/>
      </c>
      <c r="DY136" s="129">
        <f t="shared" si="316"/>
      </c>
      <c r="DZ136" s="129"/>
      <c r="EA136" s="21"/>
      <c r="EB136" s="2"/>
      <c r="EC136" s="2"/>
      <c r="ED136" s="2"/>
      <c r="EE136" s="2"/>
      <c r="EF136" s="382"/>
      <c r="EG136" s="382"/>
      <c r="EH136" s="382"/>
      <c r="EI136" s="382"/>
      <c r="EJ136" s="208"/>
      <c r="EK136" s="2"/>
      <c r="EL136" s="2"/>
      <c r="EP136" s="215"/>
      <c r="EQ136" s="215"/>
      <c r="ER136" s="215"/>
      <c r="FC136" s="140"/>
      <c r="FD136" s="218"/>
      <c r="FE136" s="218"/>
      <c r="FF136" s="218"/>
      <c r="FG136" s="218"/>
      <c r="FH136" s="218"/>
      <c r="FI136" s="218"/>
      <c r="FJ136" s="218"/>
      <c r="FK136" s="328"/>
      <c r="FL136" s="328"/>
      <c r="FM136" s="328"/>
      <c r="FN136" s="328"/>
      <c r="FP136" s="328"/>
      <c r="FQ136" s="328"/>
      <c r="FR136" s="328"/>
      <c r="FS136" s="328"/>
      <c r="GF136" s="140"/>
      <c r="GG136" s="140"/>
      <c r="GH136" s="140"/>
      <c r="GJ136" s="218"/>
    </row>
    <row r="137" spans="2:192" s="137" customFormat="1" ht="16.5" hidden="1">
      <c r="B137" s="54"/>
      <c r="C137" s="54"/>
      <c r="D137" s="26"/>
      <c r="E137" s="26"/>
      <c r="F137" s="26"/>
      <c r="G137" s="54"/>
      <c r="H137" s="133"/>
      <c r="I137" s="133"/>
      <c r="J137" s="54"/>
      <c r="K137" s="118"/>
      <c r="L137" s="118"/>
      <c r="M137" s="118"/>
      <c r="N137" s="564"/>
      <c r="O137" s="564"/>
      <c r="P137" s="564"/>
      <c r="Q137" s="564"/>
      <c r="R137" s="135"/>
      <c r="S137" s="134"/>
      <c r="T137" s="134"/>
      <c r="U137" s="134"/>
      <c r="V137" s="139"/>
      <c r="W137" s="139"/>
      <c r="X137" s="139"/>
      <c r="Y137" s="139"/>
      <c r="AP137" s="140"/>
      <c r="AQ137" s="140"/>
      <c r="AZ137" s="27"/>
      <c r="BA137" s="27"/>
      <c r="BB137" s="27"/>
      <c r="BH137" s="141"/>
      <c r="BI137" s="141"/>
      <c r="BJ137" s="141"/>
      <c r="BK137" s="141"/>
      <c r="BL137" s="141"/>
      <c r="BM137" s="141"/>
      <c r="BN137" s="141"/>
      <c r="BO137" s="141"/>
      <c r="BP137" s="141"/>
      <c r="CK137" s="7"/>
      <c r="CL137" s="7"/>
      <c r="CM137" s="20"/>
      <c r="CN137" s="2"/>
      <c r="CO137" s="185"/>
      <c r="CP137" s="2"/>
      <c r="CQ137" s="2"/>
      <c r="CR137" s="185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>
        <f t="shared" si="272"/>
      </c>
      <c r="DF137" s="2">
        <f t="shared" si="206"/>
      </c>
      <c r="DG137" s="129"/>
      <c r="DH137" s="2"/>
      <c r="DI137" s="2"/>
      <c r="DJ137" s="129"/>
      <c r="DK137" s="2"/>
      <c r="DL137" s="2"/>
      <c r="DM137" s="129"/>
      <c r="DN137" s="2">
        <f t="shared" si="324"/>
      </c>
      <c r="DO137" s="2">
        <f t="shared" si="325"/>
      </c>
      <c r="DP137" s="129">
        <f t="shared" si="311"/>
      </c>
      <c r="DQ137" s="2">
        <f t="shared" si="326"/>
      </c>
      <c r="DR137" s="2">
        <f t="shared" si="327"/>
      </c>
      <c r="DS137" s="129">
        <f t="shared" si="312"/>
      </c>
      <c r="DT137" s="2">
        <f t="shared" si="328"/>
      </c>
      <c r="DU137" s="2">
        <f t="shared" si="329"/>
      </c>
      <c r="DV137" s="129">
        <f t="shared" si="313"/>
      </c>
      <c r="DW137" s="2">
        <f t="shared" si="314"/>
      </c>
      <c r="DX137" s="2">
        <f t="shared" si="315"/>
      </c>
      <c r="DY137" s="129">
        <f t="shared" si="316"/>
      </c>
      <c r="DZ137" s="129"/>
      <c r="EA137" s="21"/>
      <c r="EB137" s="2"/>
      <c r="EC137" s="2"/>
      <c r="ED137" s="2"/>
      <c r="EE137" s="2"/>
      <c r="EF137" s="382"/>
      <c r="EG137" s="382"/>
      <c r="EH137" s="382"/>
      <c r="EI137" s="382"/>
      <c r="EJ137" s="208"/>
      <c r="EK137" s="2"/>
      <c r="EL137" s="2"/>
      <c r="EP137" s="215"/>
      <c r="EQ137" s="215"/>
      <c r="ER137" s="215"/>
      <c r="FC137" s="140"/>
      <c r="FD137" s="218"/>
      <c r="FE137" s="218"/>
      <c r="FF137" s="218"/>
      <c r="FG137" s="218"/>
      <c r="FH137" s="218"/>
      <c r="FI137" s="218"/>
      <c r="FJ137" s="218"/>
      <c r="FK137" s="328"/>
      <c r="FL137" s="328"/>
      <c r="FM137" s="328"/>
      <c r="FN137" s="328"/>
      <c r="FP137" s="328"/>
      <c r="FQ137" s="328"/>
      <c r="FR137" s="328"/>
      <c r="FS137" s="328"/>
      <c r="GF137" s="140"/>
      <c r="GG137" s="140"/>
      <c r="GH137" s="140"/>
      <c r="GJ137" s="218"/>
    </row>
    <row r="138" spans="2:192" s="137" customFormat="1" ht="16.5" hidden="1">
      <c r="B138" s="54"/>
      <c r="C138" s="54"/>
      <c r="D138" s="26"/>
      <c r="E138" s="26"/>
      <c r="F138" s="26"/>
      <c r="G138" s="54"/>
      <c r="H138" s="133"/>
      <c r="I138" s="133"/>
      <c r="J138" s="54"/>
      <c r="K138" s="118"/>
      <c r="L138" s="118"/>
      <c r="M138" s="118"/>
      <c r="N138" s="564"/>
      <c r="O138" s="564"/>
      <c r="P138" s="564"/>
      <c r="Q138" s="564"/>
      <c r="R138" s="135"/>
      <c r="S138" s="134"/>
      <c r="T138" s="134"/>
      <c r="U138" s="134"/>
      <c r="V138" s="139"/>
      <c r="W138" s="139"/>
      <c r="X138" s="139"/>
      <c r="Y138" s="291" t="s">
        <v>133</v>
      </c>
      <c r="Z138" s="287" t="str">
        <f>IF(Z121=0,"無符合年度",IF(AND(Z122=106,Z128&gt;30),Z122&amp;".1.1",IF(AND(Z127=60,Z128=15),Z126,IF(AND(Z127=60,Z128&gt;15),Z123,Z124))))</f>
        <v>無符合年度</v>
      </c>
      <c r="AA138" s="287" t="str">
        <f aca="true" t="shared" si="339" ref="AA138:AF138">IF(AA121=0,"無符合年度",IF(AND(AA122=106,AA128&gt;25),AA122&amp;".1.1",IF(AND(AA127=60,AA128=15),AA126,IF(AND(AA127=60,AA128&gt;15),AA123,AA124))))</f>
        <v>107.12.13</v>
      </c>
      <c r="AB138" s="287" t="str">
        <f t="shared" si="339"/>
        <v>111.12.13</v>
      </c>
      <c r="AC138" s="287" t="str">
        <f t="shared" si="339"/>
        <v>112.12.13</v>
      </c>
      <c r="AD138" s="287" t="str">
        <f t="shared" si="339"/>
        <v>113.12.13</v>
      </c>
      <c r="AE138" s="287" t="str">
        <f t="shared" si="339"/>
        <v>114.12.13</v>
      </c>
      <c r="AF138" s="287" t="str">
        <f t="shared" si="339"/>
        <v>115.12.13</v>
      </c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140"/>
      <c r="AQ138" s="140"/>
      <c r="AZ138" s="27"/>
      <c r="BA138" s="27"/>
      <c r="BB138" s="27"/>
      <c r="BH138" s="141"/>
      <c r="BI138" s="141"/>
      <c r="BJ138" s="141"/>
      <c r="BK138" s="141"/>
      <c r="BL138" s="141"/>
      <c r="BM138" s="141"/>
      <c r="BN138" s="141"/>
      <c r="BO138" s="141"/>
      <c r="BP138" s="141"/>
      <c r="CK138" s="7"/>
      <c r="CL138" s="7"/>
      <c r="CM138" s="20"/>
      <c r="CN138" s="2"/>
      <c r="CO138" s="185"/>
      <c r="CP138" s="2"/>
      <c r="CQ138" s="2"/>
      <c r="CR138" s="185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>
        <f t="shared" si="272"/>
      </c>
      <c r="DF138" s="2">
        <f t="shared" si="206"/>
      </c>
      <c r="DG138" s="129"/>
      <c r="DH138" s="2"/>
      <c r="DI138" s="2"/>
      <c r="DJ138" s="129"/>
      <c r="DK138" s="2"/>
      <c r="DL138" s="2"/>
      <c r="DM138" s="129"/>
      <c r="DN138" s="2">
        <f t="shared" si="324"/>
      </c>
      <c r="DO138" s="2">
        <f t="shared" si="325"/>
      </c>
      <c r="DP138" s="129">
        <f t="shared" si="311"/>
      </c>
      <c r="DQ138" s="2">
        <f t="shared" si="326"/>
      </c>
      <c r="DR138" s="2">
        <f t="shared" si="327"/>
      </c>
      <c r="DS138" s="129">
        <f t="shared" si="312"/>
      </c>
      <c r="DT138" s="2">
        <f t="shared" si="328"/>
      </c>
      <c r="DU138" s="2">
        <f t="shared" si="329"/>
      </c>
      <c r="DV138" s="129">
        <f t="shared" si="313"/>
      </c>
      <c r="DW138" s="2">
        <f t="shared" si="314"/>
      </c>
      <c r="DX138" s="2">
        <f t="shared" si="315"/>
      </c>
      <c r="DY138" s="129">
        <f t="shared" si="316"/>
      </c>
      <c r="DZ138" s="129"/>
      <c r="EA138" s="21"/>
      <c r="EB138" s="2"/>
      <c r="EC138" s="2"/>
      <c r="ED138" s="2"/>
      <c r="EE138" s="2"/>
      <c r="EF138" s="382"/>
      <c r="EG138" s="382"/>
      <c r="EH138" s="382"/>
      <c r="EI138" s="382"/>
      <c r="EJ138" s="208"/>
      <c r="EK138" s="2"/>
      <c r="EL138" s="2"/>
      <c r="EP138" s="215"/>
      <c r="EQ138" s="215"/>
      <c r="ER138" s="215"/>
      <c r="FC138" s="140"/>
      <c r="FD138" s="218"/>
      <c r="FE138" s="218"/>
      <c r="FF138" s="218"/>
      <c r="FG138" s="218"/>
      <c r="FH138" s="218"/>
      <c r="FI138" s="218"/>
      <c r="FJ138" s="218"/>
      <c r="FK138" s="328"/>
      <c r="FL138" s="328"/>
      <c r="FM138" s="328"/>
      <c r="FN138" s="328"/>
      <c r="FP138" s="328"/>
      <c r="FQ138" s="328"/>
      <c r="FR138" s="328"/>
      <c r="FS138" s="328"/>
      <c r="GF138" s="140"/>
      <c r="GG138" s="140"/>
      <c r="GH138" s="140"/>
      <c r="GJ138" s="218"/>
    </row>
    <row r="139" spans="2:192" s="137" customFormat="1" ht="16.5" hidden="1">
      <c r="B139" s="54"/>
      <c r="C139" s="54"/>
      <c r="D139" s="26"/>
      <c r="E139" s="26"/>
      <c r="F139" s="26"/>
      <c r="G139" s="54"/>
      <c r="H139" s="133"/>
      <c r="I139" s="133"/>
      <c r="J139" s="54"/>
      <c r="K139" s="118"/>
      <c r="L139" s="118"/>
      <c r="M139" s="118"/>
      <c r="N139" s="564"/>
      <c r="O139" s="564"/>
      <c r="P139" s="564"/>
      <c r="Q139" s="564"/>
      <c r="R139" s="135"/>
      <c r="S139" s="134"/>
      <c r="T139" s="134"/>
      <c r="U139" s="134"/>
      <c r="V139" s="139"/>
      <c r="W139" s="139"/>
      <c r="X139" s="139"/>
      <c r="Y139" s="288"/>
      <c r="Z139" s="289" t="str">
        <f aca="true" t="shared" si="340" ref="Z139:AF139">IF(Z121=0,"無符合年度",IF(Z128&gt;25,DATE(Z122+1911,1,1),IF(AND(Z127=60,Z128=15),Z148,IF(AND(Z127=60,Z128&gt;15),Z146,DATE(Z122+1911,$AF$9,$AG$9)))))</f>
        <v>無符合年度</v>
      </c>
      <c r="AA139" s="333">
        <f t="shared" si="340"/>
        <v>43447</v>
      </c>
      <c r="AB139" s="333">
        <f t="shared" si="340"/>
        <v>44562</v>
      </c>
      <c r="AC139" s="333">
        <f t="shared" si="340"/>
        <v>44927</v>
      </c>
      <c r="AD139" s="333">
        <f t="shared" si="340"/>
        <v>45292</v>
      </c>
      <c r="AE139" s="333">
        <f t="shared" si="340"/>
        <v>45658</v>
      </c>
      <c r="AF139" s="333">
        <f t="shared" si="340"/>
        <v>46023</v>
      </c>
      <c r="AP139" s="140"/>
      <c r="AQ139" s="140"/>
      <c r="AZ139" s="27"/>
      <c r="BA139" s="27"/>
      <c r="BB139" s="27"/>
      <c r="BH139" s="141"/>
      <c r="BI139" s="141"/>
      <c r="BJ139" s="141"/>
      <c r="BK139" s="141"/>
      <c r="BL139" s="141"/>
      <c r="BM139" s="141"/>
      <c r="BN139" s="141"/>
      <c r="BO139" s="141"/>
      <c r="BP139" s="141"/>
      <c r="CK139" s="7"/>
      <c r="CL139" s="7"/>
      <c r="CM139" s="20"/>
      <c r="CN139" s="2"/>
      <c r="CO139" s="185"/>
      <c r="CP139" s="2"/>
      <c r="CQ139" s="2"/>
      <c r="CR139" s="185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>
        <f t="shared" si="272"/>
      </c>
      <c r="DF139" s="2">
        <f t="shared" si="206"/>
      </c>
      <c r="DG139" s="129"/>
      <c r="DH139" s="2"/>
      <c r="DI139" s="2"/>
      <c r="DJ139" s="129"/>
      <c r="DK139" s="2"/>
      <c r="DL139" s="2"/>
      <c r="DM139" s="129"/>
      <c r="DN139" s="2">
        <f t="shared" si="324"/>
      </c>
      <c r="DO139" s="2">
        <f t="shared" si="325"/>
      </c>
      <c r="DP139" s="129">
        <f t="shared" si="311"/>
      </c>
      <c r="DQ139" s="2">
        <f t="shared" si="326"/>
      </c>
      <c r="DR139" s="2">
        <f t="shared" si="327"/>
      </c>
      <c r="DS139" s="129">
        <f t="shared" si="312"/>
      </c>
      <c r="DT139" s="2">
        <f t="shared" si="328"/>
      </c>
      <c r="DU139" s="2">
        <f t="shared" si="329"/>
      </c>
      <c r="DV139" s="129">
        <f t="shared" si="313"/>
      </c>
      <c r="DW139" s="2">
        <f t="shared" si="314"/>
      </c>
      <c r="DX139" s="2">
        <f t="shared" si="315"/>
      </c>
      <c r="DY139" s="129">
        <f t="shared" si="316"/>
      </c>
      <c r="DZ139" s="129"/>
      <c r="EA139" s="21"/>
      <c r="EB139" s="2"/>
      <c r="EC139" s="2"/>
      <c r="ED139" s="2"/>
      <c r="EE139" s="2"/>
      <c r="EF139" s="382"/>
      <c r="EG139" s="382"/>
      <c r="EH139" s="382"/>
      <c r="EI139" s="382"/>
      <c r="EJ139" s="208"/>
      <c r="EK139" s="2"/>
      <c r="EL139" s="2"/>
      <c r="EP139" s="215"/>
      <c r="EQ139" s="215"/>
      <c r="ER139" s="215"/>
      <c r="FC139" s="140"/>
      <c r="FD139" s="218"/>
      <c r="FE139" s="218"/>
      <c r="FF139" s="218"/>
      <c r="FG139" s="218"/>
      <c r="FH139" s="218"/>
      <c r="FI139" s="218"/>
      <c r="FJ139" s="218"/>
      <c r="FK139" s="328"/>
      <c r="FL139" s="328"/>
      <c r="FM139" s="328"/>
      <c r="FN139" s="328"/>
      <c r="FP139" s="328"/>
      <c r="FQ139" s="328"/>
      <c r="FR139" s="328"/>
      <c r="FS139" s="328"/>
      <c r="GF139" s="140"/>
      <c r="GG139" s="140"/>
      <c r="GH139" s="140"/>
      <c r="GJ139" s="218"/>
    </row>
    <row r="140" spans="2:192" s="137" customFormat="1" ht="16.5" hidden="1">
      <c r="B140" s="54"/>
      <c r="C140" s="54"/>
      <c r="D140" s="26"/>
      <c r="E140" s="26"/>
      <c r="F140" s="26"/>
      <c r="G140" s="54"/>
      <c r="H140" s="133"/>
      <c r="I140" s="133"/>
      <c r="J140" s="54"/>
      <c r="K140" s="118"/>
      <c r="L140" s="118"/>
      <c r="M140" s="118"/>
      <c r="N140" s="564"/>
      <c r="O140" s="564"/>
      <c r="P140" s="564"/>
      <c r="Q140" s="564"/>
      <c r="R140" s="135"/>
      <c r="S140" s="134"/>
      <c r="T140" s="134"/>
      <c r="U140" s="134"/>
      <c r="V140" s="139"/>
      <c r="W140" s="139"/>
      <c r="X140" s="139"/>
      <c r="Y140" s="288"/>
      <c r="Z140" s="290">
        <f aca="true" t="shared" si="341" ref="Z140:AF140">IF(Z122="",0,IF($Z$134&gt;Z139,2,1))</f>
        <v>0</v>
      </c>
      <c r="AA140" s="290">
        <f t="shared" si="341"/>
        <v>2</v>
      </c>
      <c r="AB140" s="290">
        <f t="shared" si="341"/>
        <v>2</v>
      </c>
      <c r="AC140" s="290">
        <f t="shared" si="341"/>
        <v>2</v>
      </c>
      <c r="AD140" s="290">
        <f t="shared" si="341"/>
        <v>2</v>
      </c>
      <c r="AE140" s="290">
        <f t="shared" si="341"/>
        <v>2</v>
      </c>
      <c r="AF140" s="290">
        <f t="shared" si="341"/>
        <v>2</v>
      </c>
      <c r="AP140" s="140"/>
      <c r="AQ140" s="140"/>
      <c r="AZ140" s="27"/>
      <c r="BA140" s="27"/>
      <c r="BB140" s="27"/>
      <c r="BH140" s="141"/>
      <c r="BI140" s="141"/>
      <c r="BJ140" s="141"/>
      <c r="BK140" s="141"/>
      <c r="BL140" s="141"/>
      <c r="BM140" s="141"/>
      <c r="BN140" s="141"/>
      <c r="BO140" s="141"/>
      <c r="BP140" s="141"/>
      <c r="CK140" s="7"/>
      <c r="CL140" s="7"/>
      <c r="CM140" s="20"/>
      <c r="CN140" s="2"/>
      <c r="CO140" s="185"/>
      <c r="CP140" s="2"/>
      <c r="CQ140" s="2"/>
      <c r="CR140" s="185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>
        <f t="shared" si="272"/>
      </c>
      <c r="DF140" s="2">
        <f t="shared" si="206"/>
      </c>
      <c r="DG140" s="129"/>
      <c r="DH140" s="2"/>
      <c r="DI140" s="2"/>
      <c r="DJ140" s="129"/>
      <c r="DK140" s="2"/>
      <c r="DL140" s="2"/>
      <c r="DM140" s="129"/>
      <c r="DN140" s="2">
        <f t="shared" si="324"/>
      </c>
      <c r="DO140" s="2">
        <f t="shared" si="325"/>
      </c>
      <c r="DP140" s="129">
        <f t="shared" si="311"/>
      </c>
      <c r="DQ140" s="2">
        <f t="shared" si="326"/>
      </c>
      <c r="DR140" s="2">
        <f t="shared" si="327"/>
      </c>
      <c r="DS140" s="129">
        <f t="shared" si="312"/>
      </c>
      <c r="DT140" s="2">
        <f t="shared" si="328"/>
      </c>
      <c r="DU140" s="2">
        <f t="shared" si="329"/>
      </c>
      <c r="DV140" s="129">
        <f t="shared" si="313"/>
      </c>
      <c r="DW140" s="2">
        <f t="shared" si="314"/>
      </c>
      <c r="DX140" s="2">
        <f t="shared" si="315"/>
      </c>
      <c r="DY140" s="129">
        <f t="shared" si="316"/>
      </c>
      <c r="DZ140" s="129"/>
      <c r="EA140" s="21"/>
      <c r="EB140" s="2"/>
      <c r="EC140" s="2"/>
      <c r="ED140" s="2"/>
      <c r="EE140" s="2"/>
      <c r="EF140" s="382"/>
      <c r="EG140" s="382"/>
      <c r="EH140" s="382"/>
      <c r="EI140" s="382"/>
      <c r="EJ140" s="208"/>
      <c r="EK140" s="2"/>
      <c r="EL140" s="2"/>
      <c r="EP140" s="215"/>
      <c r="EQ140" s="215"/>
      <c r="ER140" s="215"/>
      <c r="FC140" s="140"/>
      <c r="FD140" s="218"/>
      <c r="FE140" s="218"/>
      <c r="FF140" s="218"/>
      <c r="FG140" s="218"/>
      <c r="FH140" s="218"/>
      <c r="FI140" s="218"/>
      <c r="FJ140" s="218"/>
      <c r="FK140" s="328"/>
      <c r="FL140" s="328"/>
      <c r="FM140" s="328"/>
      <c r="FN140" s="328"/>
      <c r="FP140" s="328"/>
      <c r="FQ140" s="328"/>
      <c r="FR140" s="328"/>
      <c r="FS140" s="328"/>
      <c r="GF140" s="140"/>
      <c r="GG140" s="140"/>
      <c r="GH140" s="140"/>
      <c r="GJ140" s="218"/>
    </row>
    <row r="141" spans="2:192" s="137" customFormat="1" ht="16.5" hidden="1">
      <c r="B141" s="54"/>
      <c r="C141" s="54"/>
      <c r="D141" s="26"/>
      <c r="E141" s="26"/>
      <c r="F141" s="26"/>
      <c r="G141" s="54"/>
      <c r="H141" s="133"/>
      <c r="I141" s="133"/>
      <c r="J141" s="54"/>
      <c r="K141" s="118"/>
      <c r="L141" s="118"/>
      <c r="M141" s="118"/>
      <c r="N141" s="564"/>
      <c r="O141" s="564"/>
      <c r="P141" s="564"/>
      <c r="Q141" s="564"/>
      <c r="R141" s="135"/>
      <c r="S141" s="134"/>
      <c r="T141" s="134"/>
      <c r="U141" s="134"/>
      <c r="V141" s="139"/>
      <c r="W141" s="139"/>
      <c r="X141" s="139"/>
      <c r="Y141" s="279" t="s">
        <v>146</v>
      </c>
      <c r="Z141" s="407">
        <f>MIN(Z139:AF139)</f>
        <v>43447</v>
      </c>
      <c r="AA141" s="408"/>
      <c r="AB141" s="408"/>
      <c r="AC141" s="408"/>
      <c r="AD141" s="408"/>
      <c r="AE141" s="408"/>
      <c r="AF141" s="408"/>
      <c r="AG141" s="407">
        <f>MIN(AG135:AM135)</f>
        <v>48930</v>
      </c>
      <c r="AH141" s="408"/>
      <c r="AI141" s="408"/>
      <c r="AJ141" s="408"/>
      <c r="AK141" s="408"/>
      <c r="AL141" s="408"/>
      <c r="AM141" s="408"/>
      <c r="AP141" s="140"/>
      <c r="AQ141" s="140"/>
      <c r="AZ141" s="27"/>
      <c r="BA141" s="27"/>
      <c r="BB141" s="27"/>
      <c r="BH141" s="141"/>
      <c r="BI141" s="141"/>
      <c r="BJ141" s="141"/>
      <c r="BK141" s="141"/>
      <c r="BL141" s="141"/>
      <c r="BM141" s="141"/>
      <c r="BN141" s="141"/>
      <c r="BO141" s="141"/>
      <c r="BP141" s="141"/>
      <c r="CK141" s="7"/>
      <c r="CL141" s="7"/>
      <c r="CM141" s="20"/>
      <c r="CN141" s="2"/>
      <c r="CO141" s="185"/>
      <c r="CP141" s="2"/>
      <c r="CQ141" s="2"/>
      <c r="CR141" s="185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>
        <f t="shared" si="272"/>
      </c>
      <c r="DF141" s="2">
        <f t="shared" si="206"/>
      </c>
      <c r="DG141" s="129"/>
      <c r="DH141" s="2"/>
      <c r="DI141" s="2"/>
      <c r="DJ141" s="129"/>
      <c r="DK141" s="2"/>
      <c r="DL141" s="2"/>
      <c r="DM141" s="129"/>
      <c r="DN141" s="2">
        <f t="shared" si="324"/>
      </c>
      <c r="DO141" s="2">
        <f t="shared" si="325"/>
      </c>
      <c r="DP141" s="129">
        <f t="shared" si="311"/>
      </c>
      <c r="DQ141" s="2">
        <f t="shared" si="326"/>
      </c>
      <c r="DR141" s="2">
        <f t="shared" si="327"/>
      </c>
      <c r="DS141" s="129">
        <f t="shared" si="312"/>
      </c>
      <c r="DT141" s="2">
        <f t="shared" si="328"/>
      </c>
      <c r="DU141" s="2">
        <f t="shared" si="329"/>
      </c>
      <c r="DV141" s="129">
        <f t="shared" si="313"/>
      </c>
      <c r="DW141" s="2">
        <f t="shared" si="314"/>
      </c>
      <c r="DX141" s="2">
        <f t="shared" si="315"/>
      </c>
      <c r="DY141" s="129">
        <f t="shared" si="316"/>
      </c>
      <c r="DZ141" s="129"/>
      <c r="EA141" s="21"/>
      <c r="EB141" s="2"/>
      <c r="EC141" s="2"/>
      <c r="ED141" s="2"/>
      <c r="EE141" s="2"/>
      <c r="EF141" s="382"/>
      <c r="EG141" s="382"/>
      <c r="EH141" s="382"/>
      <c r="EI141" s="382"/>
      <c r="EJ141" s="208"/>
      <c r="EK141" s="2"/>
      <c r="EL141" s="2"/>
      <c r="EP141" s="215"/>
      <c r="EQ141" s="215"/>
      <c r="ER141" s="215"/>
      <c r="FC141" s="140"/>
      <c r="FD141" s="218"/>
      <c r="FE141" s="218"/>
      <c r="FF141" s="218"/>
      <c r="FG141" s="218"/>
      <c r="FH141" s="218"/>
      <c r="FI141" s="218"/>
      <c r="FJ141" s="218"/>
      <c r="FK141" s="328"/>
      <c r="FL141" s="328"/>
      <c r="FM141" s="328"/>
      <c r="FN141" s="328"/>
      <c r="FP141" s="328"/>
      <c r="FQ141" s="328"/>
      <c r="FR141" s="328"/>
      <c r="FS141" s="328"/>
      <c r="GF141" s="140"/>
      <c r="GG141" s="140"/>
      <c r="GH141" s="140"/>
      <c r="GJ141" s="218"/>
    </row>
    <row r="142" spans="2:192" s="137" customFormat="1" ht="16.5" hidden="1">
      <c r="B142" s="54"/>
      <c r="C142" s="54"/>
      <c r="D142" s="26"/>
      <c r="E142" s="26"/>
      <c r="F142" s="26"/>
      <c r="G142" s="54"/>
      <c r="H142" s="133"/>
      <c r="I142" s="133"/>
      <c r="J142" s="54"/>
      <c r="K142" s="118"/>
      <c r="L142" s="118"/>
      <c r="M142" s="118"/>
      <c r="N142" s="564"/>
      <c r="O142" s="564"/>
      <c r="P142" s="564"/>
      <c r="Q142" s="564"/>
      <c r="R142" s="135"/>
      <c r="S142" s="134"/>
      <c r="T142" s="134"/>
      <c r="U142" s="134"/>
      <c r="V142" s="139"/>
      <c r="W142" s="139"/>
      <c r="X142" s="139"/>
      <c r="Y142" s="279" t="s">
        <v>147</v>
      </c>
      <c r="Z142" s="409" t="str">
        <f>IF(YEAR(Z141)=1900,"",IF(Z141&gt;Z134,"",YEAR(Z141)-1911&amp;"."&amp;MONTH(Z141)&amp;"."&amp;DAY(Z141)))</f>
        <v>107.12.13</v>
      </c>
      <c r="AA142" s="410"/>
      <c r="AB142" s="410"/>
      <c r="AC142" s="410"/>
      <c r="AD142" s="410"/>
      <c r="AE142" s="410"/>
      <c r="AF142" s="410"/>
      <c r="AG142" s="409" t="str">
        <f>IF(YEAR(AG141)=1900,"",IF(AG141&gt;Z134,"",YEAR(AG141)-1911&amp;"."&amp;MONTH(AG141)&amp;"."&amp;DAY(AG141)))</f>
        <v>122.12.17</v>
      </c>
      <c r="AH142" s="410"/>
      <c r="AI142" s="410"/>
      <c r="AJ142" s="410"/>
      <c r="AK142" s="410"/>
      <c r="AL142" s="410"/>
      <c r="AM142" s="410"/>
      <c r="AP142" s="140"/>
      <c r="AQ142" s="140"/>
      <c r="AZ142" s="27"/>
      <c r="BA142" s="27"/>
      <c r="BB142" s="27"/>
      <c r="BH142" s="141"/>
      <c r="BI142" s="141"/>
      <c r="BJ142" s="141"/>
      <c r="BK142" s="141"/>
      <c r="BL142" s="141"/>
      <c r="BM142" s="141"/>
      <c r="BN142" s="141"/>
      <c r="BO142" s="141"/>
      <c r="BP142" s="141"/>
      <c r="CK142" s="7"/>
      <c r="CL142" s="7"/>
      <c r="CM142" s="20"/>
      <c r="CN142" s="2"/>
      <c r="CO142" s="185"/>
      <c r="CP142" s="2"/>
      <c r="CQ142" s="2"/>
      <c r="CR142" s="185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>
        <f t="shared" si="272"/>
      </c>
      <c r="DF142" s="2">
        <f t="shared" si="206"/>
      </c>
      <c r="DG142" s="129"/>
      <c r="DH142" s="2"/>
      <c r="DI142" s="2"/>
      <c r="DJ142" s="129"/>
      <c r="DK142" s="2"/>
      <c r="DL142" s="2"/>
      <c r="DM142" s="129"/>
      <c r="DN142" s="2">
        <f t="shared" si="324"/>
      </c>
      <c r="DO142" s="2">
        <f t="shared" si="325"/>
      </c>
      <c r="DP142" s="129">
        <f t="shared" si="311"/>
      </c>
      <c r="DQ142" s="2">
        <f t="shared" si="326"/>
      </c>
      <c r="DR142" s="2">
        <f t="shared" si="327"/>
      </c>
      <c r="DS142" s="129">
        <f t="shared" si="312"/>
      </c>
      <c r="DT142" s="2">
        <f t="shared" si="328"/>
      </c>
      <c r="DU142" s="2">
        <f t="shared" si="329"/>
      </c>
      <c r="DV142" s="129">
        <f t="shared" si="313"/>
      </c>
      <c r="DW142" s="2">
        <f t="shared" si="314"/>
      </c>
      <c r="DX142" s="2">
        <f t="shared" si="315"/>
      </c>
      <c r="DY142" s="129">
        <f t="shared" si="316"/>
      </c>
      <c r="DZ142" s="129"/>
      <c r="EA142" s="21"/>
      <c r="EB142" s="2"/>
      <c r="EC142" s="2"/>
      <c r="ED142" s="2"/>
      <c r="EE142" s="2"/>
      <c r="EF142" s="382"/>
      <c r="EG142" s="382"/>
      <c r="EH142" s="382"/>
      <c r="EI142" s="382"/>
      <c r="EJ142" s="208"/>
      <c r="EK142" s="2"/>
      <c r="EL142" s="2"/>
      <c r="EP142" s="215"/>
      <c r="EQ142" s="215"/>
      <c r="ER142" s="215"/>
      <c r="FC142" s="140"/>
      <c r="FD142" s="218"/>
      <c r="FE142" s="218"/>
      <c r="FF142" s="218"/>
      <c r="FG142" s="218"/>
      <c r="FH142" s="218"/>
      <c r="FI142" s="218"/>
      <c r="FJ142" s="218"/>
      <c r="FK142" s="328"/>
      <c r="FL142" s="328"/>
      <c r="FM142" s="328"/>
      <c r="FN142" s="328"/>
      <c r="FP142" s="328"/>
      <c r="FQ142" s="328"/>
      <c r="FR142" s="328"/>
      <c r="FS142" s="328"/>
      <c r="GF142" s="140"/>
      <c r="GG142" s="140"/>
      <c r="GH142" s="140"/>
      <c r="GJ142" s="218"/>
    </row>
    <row r="143" spans="2:192" s="137" customFormat="1" ht="16.5" hidden="1">
      <c r="B143" s="54"/>
      <c r="C143" s="54"/>
      <c r="D143" s="26"/>
      <c r="E143" s="26"/>
      <c r="F143" s="26"/>
      <c r="G143" s="54"/>
      <c r="H143" s="133"/>
      <c r="I143" s="133"/>
      <c r="J143" s="54"/>
      <c r="K143" s="118"/>
      <c r="L143" s="118"/>
      <c r="M143" s="118"/>
      <c r="N143" s="564"/>
      <c r="O143" s="564"/>
      <c r="P143" s="564"/>
      <c r="Q143" s="564"/>
      <c r="R143" s="135"/>
      <c r="S143" s="134"/>
      <c r="T143" s="134"/>
      <c r="U143" s="134"/>
      <c r="V143" s="139"/>
      <c r="W143" s="139"/>
      <c r="X143" s="139"/>
      <c r="Y143" s="139"/>
      <c r="AD143" s="281"/>
      <c r="AP143" s="140"/>
      <c r="AQ143" s="140"/>
      <c r="AZ143" s="27"/>
      <c r="BA143" s="27"/>
      <c r="BB143" s="27"/>
      <c r="BH143" s="141"/>
      <c r="BI143" s="141"/>
      <c r="BJ143" s="141"/>
      <c r="BK143" s="141"/>
      <c r="BL143" s="141"/>
      <c r="BM143" s="141"/>
      <c r="BN143" s="141"/>
      <c r="BO143" s="141"/>
      <c r="BP143" s="141"/>
      <c r="CK143" s="7"/>
      <c r="CL143" s="7"/>
      <c r="CM143" s="20"/>
      <c r="CN143" s="2"/>
      <c r="CO143" s="185"/>
      <c r="CP143" s="2"/>
      <c r="CQ143" s="2"/>
      <c r="CR143" s="185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>
        <f t="shared" si="272"/>
      </c>
      <c r="DF143" s="2">
        <f t="shared" si="206"/>
      </c>
      <c r="DG143" s="129"/>
      <c r="DH143" s="2"/>
      <c r="DI143" s="2"/>
      <c r="DJ143" s="129"/>
      <c r="DK143" s="2"/>
      <c r="DL143" s="2"/>
      <c r="DM143" s="129"/>
      <c r="DN143" s="2">
        <f t="shared" si="324"/>
      </c>
      <c r="DO143" s="2">
        <f t="shared" si="325"/>
      </c>
      <c r="DP143" s="129">
        <f t="shared" si="311"/>
      </c>
      <c r="DQ143" s="2">
        <f t="shared" si="326"/>
      </c>
      <c r="DR143" s="2">
        <f t="shared" si="327"/>
      </c>
      <c r="DS143" s="129">
        <f t="shared" si="312"/>
      </c>
      <c r="DT143" s="2">
        <f t="shared" si="328"/>
      </c>
      <c r="DU143" s="2">
        <f t="shared" si="329"/>
      </c>
      <c r="DV143" s="129">
        <f t="shared" si="313"/>
      </c>
      <c r="DW143" s="2">
        <f t="shared" si="314"/>
      </c>
      <c r="DX143" s="2">
        <f t="shared" si="315"/>
      </c>
      <c r="DY143" s="129">
        <f t="shared" si="316"/>
      </c>
      <c r="DZ143" s="129"/>
      <c r="EA143" s="21"/>
      <c r="EB143" s="2"/>
      <c r="EC143" s="2"/>
      <c r="ED143" s="2"/>
      <c r="EE143" s="2"/>
      <c r="EF143" s="382"/>
      <c r="EG143" s="382"/>
      <c r="EH143" s="382"/>
      <c r="EI143" s="382"/>
      <c r="EJ143" s="208"/>
      <c r="EK143" s="2"/>
      <c r="EL143" s="2"/>
      <c r="EP143" s="215"/>
      <c r="EQ143" s="215"/>
      <c r="ER143" s="215"/>
      <c r="FC143" s="140"/>
      <c r="FD143" s="218"/>
      <c r="FE143" s="218"/>
      <c r="FF143" s="218"/>
      <c r="FG143" s="218"/>
      <c r="FH143" s="218"/>
      <c r="FI143" s="218"/>
      <c r="FJ143" s="218"/>
      <c r="FK143" s="328"/>
      <c r="FL143" s="328"/>
      <c r="FM143" s="328"/>
      <c r="FN143" s="328"/>
      <c r="FP143" s="328"/>
      <c r="FQ143" s="328"/>
      <c r="FR143" s="328"/>
      <c r="FS143" s="328"/>
      <c r="GF143" s="140"/>
      <c r="GG143" s="140"/>
      <c r="GH143" s="140"/>
      <c r="GJ143" s="218"/>
    </row>
    <row r="144" spans="2:192" s="137" customFormat="1" ht="16.5" hidden="1">
      <c r="B144" s="54"/>
      <c r="C144" s="54"/>
      <c r="D144" s="26"/>
      <c r="E144" s="26"/>
      <c r="F144" s="26"/>
      <c r="G144" s="54"/>
      <c r="H144" s="133"/>
      <c r="I144" s="133"/>
      <c r="J144" s="54"/>
      <c r="K144" s="118"/>
      <c r="L144" s="118"/>
      <c r="M144" s="118"/>
      <c r="N144" s="564"/>
      <c r="O144" s="564"/>
      <c r="P144" s="564"/>
      <c r="Q144" s="564"/>
      <c r="R144" s="135"/>
      <c r="S144" s="134"/>
      <c r="T144" s="134"/>
      <c r="U144" s="134"/>
      <c r="V144" s="139"/>
      <c r="W144" s="139"/>
      <c r="X144" s="139"/>
      <c r="AP144" s="140"/>
      <c r="AQ144" s="140"/>
      <c r="AZ144" s="27"/>
      <c r="BA144" s="27"/>
      <c r="BB144" s="27"/>
      <c r="BH144" s="141"/>
      <c r="BI144" s="141"/>
      <c r="BJ144" s="141"/>
      <c r="BK144" s="141"/>
      <c r="BL144" s="141"/>
      <c r="BM144" s="141"/>
      <c r="BN144" s="141"/>
      <c r="BO144" s="141"/>
      <c r="BP144" s="141"/>
      <c r="CK144" s="7"/>
      <c r="CL144" s="7"/>
      <c r="CM144" s="20"/>
      <c r="CN144" s="2"/>
      <c r="CO144" s="185"/>
      <c r="CP144" s="2"/>
      <c r="CQ144" s="2"/>
      <c r="CR144" s="185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>
        <f t="shared" si="272"/>
      </c>
      <c r="DF144" s="2">
        <f t="shared" si="206"/>
      </c>
      <c r="DG144" s="129"/>
      <c r="DH144" s="2"/>
      <c r="DI144" s="2"/>
      <c r="DJ144" s="129"/>
      <c r="DK144" s="2"/>
      <c r="DL144" s="2"/>
      <c r="DM144" s="129"/>
      <c r="DN144" s="2">
        <f t="shared" si="324"/>
      </c>
      <c r="DO144" s="2">
        <f t="shared" si="325"/>
      </c>
      <c r="DP144" s="129">
        <f t="shared" si="311"/>
      </c>
      <c r="DQ144" s="2">
        <f t="shared" si="326"/>
      </c>
      <c r="DR144" s="2">
        <f t="shared" si="327"/>
      </c>
      <c r="DS144" s="129">
        <f t="shared" si="312"/>
      </c>
      <c r="DT144" s="2">
        <f t="shared" si="328"/>
      </c>
      <c r="DU144" s="2">
        <f t="shared" si="329"/>
      </c>
      <c r="DV144" s="129">
        <f t="shared" si="313"/>
      </c>
      <c r="DW144" s="2">
        <f t="shared" si="314"/>
      </c>
      <c r="DX144" s="2">
        <f t="shared" si="315"/>
      </c>
      <c r="DY144" s="129">
        <f t="shared" si="316"/>
      </c>
      <c r="DZ144" s="129"/>
      <c r="EA144" s="21"/>
      <c r="EB144" s="2"/>
      <c r="EC144" s="2"/>
      <c r="ED144" s="2"/>
      <c r="EE144" s="2"/>
      <c r="EF144" s="382"/>
      <c r="EG144" s="382"/>
      <c r="EH144" s="382"/>
      <c r="EI144" s="382"/>
      <c r="EJ144" s="208"/>
      <c r="EK144" s="2"/>
      <c r="EL144" s="2"/>
      <c r="EP144" s="215"/>
      <c r="EQ144" s="215"/>
      <c r="ER144" s="215"/>
      <c r="FC144" s="140"/>
      <c r="FD144" s="218"/>
      <c r="FE144" s="218"/>
      <c r="FF144" s="218"/>
      <c r="FG144" s="218"/>
      <c r="FH144" s="218"/>
      <c r="FI144" s="218"/>
      <c r="FJ144" s="218"/>
      <c r="FK144" s="328"/>
      <c r="FL144" s="328"/>
      <c r="FM144" s="328"/>
      <c r="FN144" s="328"/>
      <c r="FP144" s="328"/>
      <c r="FQ144" s="328"/>
      <c r="FR144" s="328"/>
      <c r="FS144" s="328"/>
      <c r="GF144" s="140"/>
      <c r="GG144" s="140"/>
      <c r="GH144" s="140"/>
      <c r="GJ144" s="218"/>
    </row>
    <row r="145" spans="2:192" s="137" customFormat="1" ht="16.5" hidden="1">
      <c r="B145" s="54"/>
      <c r="C145" s="54"/>
      <c r="D145" s="26"/>
      <c r="E145" s="26"/>
      <c r="F145" s="26"/>
      <c r="G145" s="54"/>
      <c r="H145" s="133"/>
      <c r="I145" s="133"/>
      <c r="J145" s="54"/>
      <c r="K145" s="118"/>
      <c r="L145" s="118"/>
      <c r="M145" s="118"/>
      <c r="N145" s="564"/>
      <c r="O145" s="564"/>
      <c r="P145" s="564"/>
      <c r="Q145" s="564"/>
      <c r="R145" s="135"/>
      <c r="S145" s="134"/>
      <c r="T145" s="134"/>
      <c r="U145" s="134"/>
      <c r="V145" s="139"/>
      <c r="W145" s="139"/>
      <c r="X145" s="139"/>
      <c r="AP145" s="140"/>
      <c r="AQ145" s="140"/>
      <c r="AZ145" s="27"/>
      <c r="BA145" s="27"/>
      <c r="BB145" s="27"/>
      <c r="BH145" s="141"/>
      <c r="BI145" s="141"/>
      <c r="BJ145" s="141"/>
      <c r="BK145" s="141"/>
      <c r="BL145" s="141"/>
      <c r="BM145" s="141"/>
      <c r="BN145" s="141"/>
      <c r="BO145" s="141"/>
      <c r="BP145" s="141"/>
      <c r="CK145" s="7"/>
      <c r="CL145" s="7"/>
      <c r="CM145" s="20"/>
      <c r="CN145" s="2"/>
      <c r="CO145" s="185"/>
      <c r="CP145" s="2"/>
      <c r="CQ145" s="2"/>
      <c r="CR145" s="185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>
        <f t="shared" si="272"/>
      </c>
      <c r="DF145" s="2">
        <f t="shared" si="206"/>
      </c>
      <c r="DG145" s="129"/>
      <c r="DH145" s="2"/>
      <c r="DI145" s="2"/>
      <c r="DJ145" s="129"/>
      <c r="DK145" s="2"/>
      <c r="DL145" s="2"/>
      <c r="DM145" s="129"/>
      <c r="DN145" s="2">
        <f t="shared" si="324"/>
      </c>
      <c r="DO145" s="2">
        <f t="shared" si="325"/>
      </c>
      <c r="DP145" s="129">
        <f t="shared" si="311"/>
      </c>
      <c r="DQ145" s="2">
        <f t="shared" si="326"/>
      </c>
      <c r="DR145" s="2">
        <f t="shared" si="327"/>
      </c>
      <c r="DS145" s="129">
        <f t="shared" si="312"/>
      </c>
      <c r="DT145" s="2">
        <f t="shared" si="328"/>
      </c>
      <c r="DU145" s="2">
        <f t="shared" si="329"/>
      </c>
      <c r="DV145" s="129">
        <f t="shared" si="313"/>
      </c>
      <c r="DW145" s="2">
        <f t="shared" si="314"/>
      </c>
      <c r="DX145" s="2">
        <f t="shared" si="315"/>
      </c>
      <c r="DY145" s="129">
        <f t="shared" si="316"/>
      </c>
      <c r="DZ145" s="129"/>
      <c r="EA145" s="21"/>
      <c r="EB145" s="2"/>
      <c r="EC145" s="2"/>
      <c r="ED145" s="2"/>
      <c r="EE145" s="2"/>
      <c r="EF145" s="382"/>
      <c r="EG145" s="382"/>
      <c r="EH145" s="382"/>
      <c r="EI145" s="382"/>
      <c r="EJ145" s="208"/>
      <c r="EK145" s="2"/>
      <c r="EL145" s="2"/>
      <c r="EP145" s="215"/>
      <c r="EQ145" s="215"/>
      <c r="ER145" s="215"/>
      <c r="FC145" s="140"/>
      <c r="FD145" s="218"/>
      <c r="FE145" s="218"/>
      <c r="FF145" s="218"/>
      <c r="FG145" s="218"/>
      <c r="FH145" s="218"/>
      <c r="FI145" s="218"/>
      <c r="FJ145" s="218"/>
      <c r="FK145" s="328"/>
      <c r="FL145" s="328"/>
      <c r="FM145" s="328"/>
      <c r="FN145" s="328"/>
      <c r="FP145" s="328"/>
      <c r="FQ145" s="328"/>
      <c r="FR145" s="328"/>
      <c r="FS145" s="328"/>
      <c r="GF145" s="140"/>
      <c r="GG145" s="140"/>
      <c r="GH145" s="140"/>
      <c r="GJ145" s="218"/>
    </row>
    <row r="146" spans="2:192" s="137" customFormat="1" ht="16.5" hidden="1">
      <c r="B146" s="54"/>
      <c r="C146" s="54"/>
      <c r="D146" s="26"/>
      <c r="E146" s="26"/>
      <c r="F146" s="26"/>
      <c r="G146" s="54"/>
      <c r="H146" s="133"/>
      <c r="I146" s="133"/>
      <c r="J146" s="54"/>
      <c r="K146" s="118"/>
      <c r="L146" s="118"/>
      <c r="M146" s="118"/>
      <c r="N146" s="564"/>
      <c r="O146" s="564"/>
      <c r="P146" s="564"/>
      <c r="Q146" s="564"/>
      <c r="R146" s="135"/>
      <c r="S146" s="134"/>
      <c r="T146" s="134"/>
      <c r="U146" s="134"/>
      <c r="V146" s="139"/>
      <c r="W146" s="139"/>
      <c r="X146" s="139"/>
      <c r="Y146" s="279" t="s">
        <v>159</v>
      </c>
      <c r="Z146" s="389" t="e">
        <f aca="true" t="shared" si="342" ref="Z146:AE146">DATE(Z122+1911,$U$7,$W$7)</f>
        <v>#VALUE!</v>
      </c>
      <c r="AA146" s="389">
        <f t="shared" si="342"/>
        <v>43451</v>
      </c>
      <c r="AB146" s="389">
        <f t="shared" si="342"/>
        <v>44912</v>
      </c>
      <c r="AC146" s="389">
        <f t="shared" si="342"/>
        <v>45277</v>
      </c>
      <c r="AD146" s="389">
        <f t="shared" si="342"/>
        <v>45643</v>
      </c>
      <c r="AE146" s="389">
        <f t="shared" si="342"/>
        <v>46008</v>
      </c>
      <c r="AF146" s="389">
        <f>DATE(AF122+1911,$U$7,$W$7)</f>
        <v>46373</v>
      </c>
      <c r="AP146" s="140"/>
      <c r="AQ146" s="140"/>
      <c r="AZ146" s="27"/>
      <c r="BA146" s="27"/>
      <c r="BB146" s="27"/>
      <c r="BH146" s="141"/>
      <c r="BI146" s="141"/>
      <c r="BJ146" s="141"/>
      <c r="BK146" s="141"/>
      <c r="BL146" s="141"/>
      <c r="BM146" s="141"/>
      <c r="BN146" s="141"/>
      <c r="BO146" s="141"/>
      <c r="BP146" s="141"/>
      <c r="CK146" s="7"/>
      <c r="CL146" s="7"/>
      <c r="CM146" s="20"/>
      <c r="CN146" s="2"/>
      <c r="CO146" s="185"/>
      <c r="CP146" s="2"/>
      <c r="CQ146" s="2"/>
      <c r="CR146" s="185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>
        <f t="shared" si="272"/>
      </c>
      <c r="DF146" s="2">
        <f t="shared" si="206"/>
      </c>
      <c r="DG146" s="129"/>
      <c r="DH146" s="2"/>
      <c r="DI146" s="2"/>
      <c r="DJ146" s="129"/>
      <c r="DK146" s="2"/>
      <c r="DL146" s="2"/>
      <c r="DM146" s="129"/>
      <c r="DN146" s="2">
        <f t="shared" si="324"/>
      </c>
      <c r="DO146" s="2">
        <f t="shared" si="325"/>
      </c>
      <c r="DP146" s="129">
        <f t="shared" si="311"/>
      </c>
      <c r="DQ146" s="2">
        <f t="shared" si="326"/>
      </c>
      <c r="DR146" s="2">
        <f t="shared" si="327"/>
      </c>
      <c r="DS146" s="129">
        <f t="shared" si="312"/>
      </c>
      <c r="DT146" s="2">
        <f t="shared" si="328"/>
      </c>
      <c r="DU146" s="2">
        <f t="shared" si="329"/>
      </c>
      <c r="DV146" s="129">
        <f t="shared" si="313"/>
      </c>
      <c r="DW146" s="2">
        <f t="shared" si="314"/>
      </c>
      <c r="DX146" s="2">
        <f t="shared" si="315"/>
      </c>
      <c r="DY146" s="129">
        <f t="shared" si="316"/>
      </c>
      <c r="DZ146" s="129"/>
      <c r="EA146" s="21"/>
      <c r="EB146" s="2"/>
      <c r="EC146" s="2"/>
      <c r="ED146" s="2"/>
      <c r="EE146" s="2"/>
      <c r="EF146" s="382"/>
      <c r="EG146" s="382"/>
      <c r="EH146" s="382"/>
      <c r="EI146" s="382"/>
      <c r="EJ146" s="208"/>
      <c r="EK146" s="2"/>
      <c r="EL146" s="2"/>
      <c r="EP146" s="215"/>
      <c r="EQ146" s="215"/>
      <c r="ER146" s="215"/>
      <c r="FC146" s="140"/>
      <c r="FD146" s="218"/>
      <c r="FE146" s="218"/>
      <c r="FF146" s="218"/>
      <c r="FG146" s="218"/>
      <c r="FH146" s="218"/>
      <c r="FI146" s="218"/>
      <c r="FJ146" s="218"/>
      <c r="FK146" s="328"/>
      <c r="FL146" s="328"/>
      <c r="FM146" s="328"/>
      <c r="FN146" s="328"/>
      <c r="FP146" s="328"/>
      <c r="FQ146" s="328"/>
      <c r="FR146" s="328"/>
      <c r="FS146" s="328"/>
      <c r="GF146" s="140"/>
      <c r="GG146" s="140"/>
      <c r="GH146" s="140"/>
      <c r="GJ146" s="218"/>
    </row>
    <row r="147" spans="2:192" s="137" customFormat="1" ht="16.5" hidden="1">
      <c r="B147" s="54"/>
      <c r="C147" s="54"/>
      <c r="D147" s="26"/>
      <c r="E147" s="26"/>
      <c r="F147" s="26"/>
      <c r="G147" s="54"/>
      <c r="H147" s="133"/>
      <c r="I147" s="133"/>
      <c r="J147" s="54"/>
      <c r="K147" s="118"/>
      <c r="L147" s="118"/>
      <c r="M147" s="118"/>
      <c r="N147" s="564"/>
      <c r="O147" s="564"/>
      <c r="P147" s="564"/>
      <c r="Q147" s="564"/>
      <c r="R147" s="135"/>
      <c r="S147" s="134"/>
      <c r="T147" s="134"/>
      <c r="U147" s="134"/>
      <c r="V147" s="139"/>
      <c r="W147" s="139"/>
      <c r="X147" s="139"/>
      <c r="Y147" s="252" t="s">
        <v>114</v>
      </c>
      <c r="Z147" s="389" t="e">
        <f aca="true" t="shared" si="343" ref="Z147:AE147">MIN(DATE(Z122+1911,$U$7,$W$7),DATE(Z122,$AF$9,$AG$9))</f>
        <v>#VALUE!</v>
      </c>
      <c r="AA147" s="389">
        <f t="shared" si="343"/>
        <v>39429</v>
      </c>
      <c r="AB147" s="389">
        <f t="shared" si="343"/>
        <v>40890</v>
      </c>
      <c r="AC147" s="389">
        <f t="shared" si="343"/>
        <v>41256</v>
      </c>
      <c r="AD147" s="389">
        <f t="shared" si="343"/>
        <v>41621</v>
      </c>
      <c r="AE147" s="389">
        <f t="shared" si="343"/>
        <v>41986</v>
      </c>
      <c r="AF147" s="389">
        <f>MIN(DATE(AF122+1911,$U$7,$W$7),DATE(AF122,$AF$9,$AG$9))</f>
        <v>42351</v>
      </c>
      <c r="AP147" s="140"/>
      <c r="AQ147" s="140"/>
      <c r="AZ147" s="27"/>
      <c r="BA147" s="27"/>
      <c r="BB147" s="27"/>
      <c r="BH147" s="141"/>
      <c r="BI147" s="141"/>
      <c r="BJ147" s="141"/>
      <c r="BK147" s="141"/>
      <c r="BL147" s="141"/>
      <c r="BM147" s="141"/>
      <c r="BN147" s="141"/>
      <c r="BO147" s="141"/>
      <c r="BP147" s="141"/>
      <c r="CK147" s="7"/>
      <c r="CL147" s="7"/>
      <c r="CM147" s="20"/>
      <c r="CN147" s="2"/>
      <c r="CO147" s="185"/>
      <c r="CP147" s="2"/>
      <c r="CQ147" s="2"/>
      <c r="CR147" s="185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>
        <f t="shared" si="272"/>
      </c>
      <c r="DF147" s="2">
        <f t="shared" si="206"/>
      </c>
      <c r="DG147" s="129"/>
      <c r="DH147" s="2"/>
      <c r="DI147" s="2"/>
      <c r="DJ147" s="129"/>
      <c r="DK147" s="2"/>
      <c r="DL147" s="2"/>
      <c r="DM147" s="129"/>
      <c r="DN147" s="2">
        <f t="shared" si="324"/>
      </c>
      <c r="DO147" s="2">
        <f t="shared" si="325"/>
      </c>
      <c r="DP147" s="129">
        <f t="shared" si="311"/>
      </c>
      <c r="DQ147" s="2">
        <f t="shared" si="326"/>
      </c>
      <c r="DR147" s="2">
        <f t="shared" si="327"/>
      </c>
      <c r="DS147" s="129">
        <f t="shared" si="312"/>
      </c>
      <c r="DT147" s="2">
        <f t="shared" si="328"/>
      </c>
      <c r="DU147" s="2">
        <f t="shared" si="329"/>
      </c>
      <c r="DV147" s="129">
        <f t="shared" si="313"/>
      </c>
      <c r="DW147" s="2">
        <f t="shared" si="314"/>
      </c>
      <c r="DX147" s="2">
        <f t="shared" si="315"/>
      </c>
      <c r="DY147" s="129">
        <f t="shared" si="316"/>
      </c>
      <c r="DZ147" s="129"/>
      <c r="EA147" s="21"/>
      <c r="EB147" s="2"/>
      <c r="EC147" s="2"/>
      <c r="ED147" s="2"/>
      <c r="EE147" s="2"/>
      <c r="EF147" s="382"/>
      <c r="EG147" s="382"/>
      <c r="EH147" s="382"/>
      <c r="EI147" s="382"/>
      <c r="EJ147" s="208"/>
      <c r="EK147" s="2"/>
      <c r="EL147" s="2"/>
      <c r="EP147" s="215"/>
      <c r="EQ147" s="215"/>
      <c r="ER147" s="215"/>
      <c r="FC147" s="140"/>
      <c r="FD147" s="218"/>
      <c r="FE147" s="218"/>
      <c r="FF147" s="218"/>
      <c r="FG147" s="218"/>
      <c r="FH147" s="218"/>
      <c r="FI147" s="218"/>
      <c r="FJ147" s="218"/>
      <c r="FK147" s="328"/>
      <c r="FL147" s="328"/>
      <c r="FM147" s="328"/>
      <c r="FN147" s="328"/>
      <c r="FP147" s="328"/>
      <c r="FQ147" s="328"/>
      <c r="FR147" s="328"/>
      <c r="FS147" s="328"/>
      <c r="GF147" s="140"/>
      <c r="GG147" s="140"/>
      <c r="GH147" s="140"/>
      <c r="GJ147" s="218"/>
    </row>
    <row r="148" spans="2:192" s="137" customFormat="1" ht="16.5" hidden="1">
      <c r="B148" s="54"/>
      <c r="C148" s="54"/>
      <c r="D148" s="26"/>
      <c r="E148" s="26"/>
      <c r="F148" s="26"/>
      <c r="G148" s="54"/>
      <c r="H148" s="133"/>
      <c r="I148" s="133"/>
      <c r="J148" s="54"/>
      <c r="K148" s="118"/>
      <c r="L148" s="118"/>
      <c r="M148" s="118"/>
      <c r="N148" s="564"/>
      <c r="O148" s="564"/>
      <c r="P148" s="564"/>
      <c r="Q148" s="564"/>
      <c r="R148" s="135"/>
      <c r="S148" s="134"/>
      <c r="T148" s="134"/>
      <c r="U148" s="134"/>
      <c r="V148" s="139"/>
      <c r="W148" s="139"/>
      <c r="X148" s="139"/>
      <c r="Y148" s="252" t="s">
        <v>115</v>
      </c>
      <c r="Z148" s="389" t="e">
        <f aca="true" t="shared" si="344" ref="Z148:AE148">MAX(DATE(Z122+1911,$U$7,$W$7),DATE(Z122,$AF$9,$AG$9))</f>
        <v>#VALUE!</v>
      </c>
      <c r="AA148" s="389">
        <f t="shared" si="344"/>
        <v>43451</v>
      </c>
      <c r="AB148" s="389">
        <f t="shared" si="344"/>
        <v>44912</v>
      </c>
      <c r="AC148" s="389">
        <f t="shared" si="344"/>
        <v>45277</v>
      </c>
      <c r="AD148" s="389">
        <f t="shared" si="344"/>
        <v>45643</v>
      </c>
      <c r="AE148" s="389">
        <f t="shared" si="344"/>
        <v>46008</v>
      </c>
      <c r="AF148" s="389">
        <f>MAX(DATE(AF122+1911,$U$7,$W$7),DATE(AF122,$AF$9,$AG$9))</f>
        <v>46373</v>
      </c>
      <c r="AP148" s="140"/>
      <c r="AQ148" s="140"/>
      <c r="AZ148" s="27"/>
      <c r="BA148" s="27"/>
      <c r="BB148" s="27"/>
      <c r="BH148" s="141"/>
      <c r="BI148" s="141"/>
      <c r="BJ148" s="141"/>
      <c r="BK148" s="141"/>
      <c r="BL148" s="141"/>
      <c r="BM148" s="141"/>
      <c r="BN148" s="141"/>
      <c r="BO148" s="141"/>
      <c r="BP148" s="141"/>
      <c r="CK148" s="7"/>
      <c r="CL148" s="7"/>
      <c r="CM148" s="20"/>
      <c r="CN148" s="2"/>
      <c r="CO148" s="185"/>
      <c r="CP148" s="2"/>
      <c r="CQ148" s="2"/>
      <c r="CR148" s="185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>
        <f t="shared" si="272"/>
      </c>
      <c r="DF148" s="2">
        <f t="shared" si="206"/>
      </c>
      <c r="DG148" s="129"/>
      <c r="DH148" s="2"/>
      <c r="DI148" s="2"/>
      <c r="DJ148" s="129"/>
      <c r="DK148" s="2"/>
      <c r="DL148" s="2"/>
      <c r="DM148" s="129"/>
      <c r="DN148" s="2">
        <f t="shared" si="324"/>
      </c>
      <c r="DO148" s="2">
        <f t="shared" si="325"/>
      </c>
      <c r="DP148" s="129">
        <f t="shared" si="311"/>
      </c>
      <c r="DQ148" s="2">
        <f t="shared" si="326"/>
      </c>
      <c r="DR148" s="2">
        <f t="shared" si="327"/>
      </c>
      <c r="DS148" s="129">
        <f t="shared" si="312"/>
      </c>
      <c r="DT148" s="2">
        <f t="shared" si="328"/>
      </c>
      <c r="DU148" s="2">
        <f t="shared" si="329"/>
      </c>
      <c r="DV148" s="129">
        <f t="shared" si="313"/>
      </c>
      <c r="DW148" s="2">
        <f t="shared" si="314"/>
      </c>
      <c r="DX148" s="2">
        <f t="shared" si="315"/>
      </c>
      <c r="DY148" s="129">
        <f t="shared" si="316"/>
      </c>
      <c r="DZ148" s="129"/>
      <c r="EA148" s="21"/>
      <c r="EB148" s="2"/>
      <c r="EC148" s="2"/>
      <c r="ED148" s="2"/>
      <c r="EE148" s="2"/>
      <c r="EF148" s="382"/>
      <c r="EG148" s="382"/>
      <c r="EH148" s="382"/>
      <c r="EI148" s="382"/>
      <c r="EJ148" s="208"/>
      <c r="EK148" s="2"/>
      <c r="EL148" s="2"/>
      <c r="EP148" s="215"/>
      <c r="EQ148" s="215"/>
      <c r="ER148" s="215"/>
      <c r="FC148" s="140"/>
      <c r="FD148" s="218"/>
      <c r="FE148" s="218"/>
      <c r="FF148" s="218"/>
      <c r="FG148" s="218"/>
      <c r="FH148" s="218"/>
      <c r="FI148" s="218"/>
      <c r="FJ148" s="218"/>
      <c r="FK148" s="328"/>
      <c r="FL148" s="328"/>
      <c r="FM148" s="328"/>
      <c r="FN148" s="328"/>
      <c r="FP148" s="328"/>
      <c r="FQ148" s="328"/>
      <c r="FR148" s="328"/>
      <c r="FS148" s="328"/>
      <c r="GF148" s="140"/>
      <c r="GG148" s="140"/>
      <c r="GH148" s="140"/>
      <c r="GJ148" s="218"/>
    </row>
    <row r="149" spans="2:192" s="137" customFormat="1" ht="16.5" hidden="1">
      <c r="B149" s="54"/>
      <c r="C149" s="54"/>
      <c r="D149" s="26"/>
      <c r="E149" s="26"/>
      <c r="F149" s="26"/>
      <c r="G149" s="54"/>
      <c r="H149" s="133"/>
      <c r="I149" s="133"/>
      <c r="J149" s="54"/>
      <c r="K149" s="118"/>
      <c r="L149" s="118"/>
      <c r="M149" s="118"/>
      <c r="N149" s="564"/>
      <c r="O149" s="564"/>
      <c r="P149" s="564"/>
      <c r="Q149" s="564"/>
      <c r="R149" s="135"/>
      <c r="S149" s="134"/>
      <c r="T149" s="134"/>
      <c r="U149" s="134"/>
      <c r="V149" s="139"/>
      <c r="W149" s="139"/>
      <c r="X149" s="139"/>
      <c r="Y149" s="139"/>
      <c r="AP149" s="140"/>
      <c r="AQ149" s="140"/>
      <c r="AZ149" s="27"/>
      <c r="BA149" s="27"/>
      <c r="BB149" s="27"/>
      <c r="BH149" s="141"/>
      <c r="BI149" s="141"/>
      <c r="BJ149" s="141"/>
      <c r="BK149" s="141"/>
      <c r="BL149" s="141"/>
      <c r="BM149" s="141"/>
      <c r="BN149" s="141"/>
      <c r="BO149" s="141"/>
      <c r="BP149" s="141"/>
      <c r="CK149" s="7"/>
      <c r="CL149" s="7"/>
      <c r="CM149" s="20"/>
      <c r="CN149" s="2"/>
      <c r="CO149" s="185"/>
      <c r="CP149" s="2"/>
      <c r="CQ149" s="2"/>
      <c r="CR149" s="185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>
        <f t="shared" si="272"/>
      </c>
      <c r="DF149" s="2">
        <f t="shared" si="206"/>
      </c>
      <c r="DG149" s="129"/>
      <c r="DH149" s="2"/>
      <c r="DI149" s="2"/>
      <c r="DJ149" s="129"/>
      <c r="DK149" s="2"/>
      <c r="DL149" s="2"/>
      <c r="DM149" s="129"/>
      <c r="DN149" s="2">
        <f t="shared" si="324"/>
      </c>
      <c r="DO149" s="2">
        <f t="shared" si="325"/>
      </c>
      <c r="DP149" s="129">
        <f t="shared" si="311"/>
      </c>
      <c r="DQ149" s="2">
        <f t="shared" si="326"/>
      </c>
      <c r="DR149" s="2">
        <f t="shared" si="327"/>
      </c>
      <c r="DS149" s="129">
        <f t="shared" si="312"/>
      </c>
      <c r="DT149" s="2">
        <f t="shared" si="328"/>
      </c>
      <c r="DU149" s="2">
        <f t="shared" si="329"/>
      </c>
      <c r="DV149" s="129">
        <f t="shared" si="313"/>
      </c>
      <c r="DW149" s="2">
        <f t="shared" si="314"/>
      </c>
      <c r="DX149" s="2">
        <f t="shared" si="315"/>
      </c>
      <c r="DY149" s="129">
        <f t="shared" si="316"/>
      </c>
      <c r="DZ149" s="129"/>
      <c r="EA149" s="21"/>
      <c r="EB149" s="2"/>
      <c r="EC149" s="2"/>
      <c r="ED149" s="2"/>
      <c r="EE149" s="2"/>
      <c r="EF149" s="382"/>
      <c r="EG149" s="382"/>
      <c r="EH149" s="382"/>
      <c r="EI149" s="382"/>
      <c r="EJ149" s="208"/>
      <c r="EK149" s="2"/>
      <c r="EL149" s="2"/>
      <c r="EP149" s="215"/>
      <c r="EQ149" s="215"/>
      <c r="ER149" s="215"/>
      <c r="FC149" s="140"/>
      <c r="FD149" s="218"/>
      <c r="FE149" s="218"/>
      <c r="FF149" s="218"/>
      <c r="FG149" s="218"/>
      <c r="FH149" s="218"/>
      <c r="FI149" s="218"/>
      <c r="FJ149" s="218"/>
      <c r="FK149" s="328"/>
      <c r="FL149" s="328"/>
      <c r="FM149" s="328"/>
      <c r="FN149" s="328"/>
      <c r="FP149" s="328"/>
      <c r="FQ149" s="328"/>
      <c r="FR149" s="328"/>
      <c r="FS149" s="328"/>
      <c r="GF149" s="140"/>
      <c r="GG149" s="140"/>
      <c r="GH149" s="140"/>
      <c r="GJ149" s="218"/>
    </row>
    <row r="150" spans="2:192" s="137" customFormat="1" ht="16.5" hidden="1">
      <c r="B150" s="54"/>
      <c r="C150" s="54"/>
      <c r="D150" s="26"/>
      <c r="E150" s="26"/>
      <c r="F150" s="26"/>
      <c r="G150" s="54"/>
      <c r="H150" s="133"/>
      <c r="I150" s="133"/>
      <c r="J150" s="54"/>
      <c r="K150" s="118"/>
      <c r="L150" s="118"/>
      <c r="M150" s="118"/>
      <c r="N150" s="564"/>
      <c r="O150" s="564"/>
      <c r="P150" s="564"/>
      <c r="Q150" s="564"/>
      <c r="R150" s="135"/>
      <c r="S150" s="134"/>
      <c r="T150" s="134"/>
      <c r="U150" s="134"/>
      <c r="V150" s="139"/>
      <c r="W150" s="139"/>
      <c r="X150" s="139"/>
      <c r="Y150" s="139"/>
      <c r="AP150" s="140"/>
      <c r="AQ150" s="140"/>
      <c r="AZ150" s="27"/>
      <c r="BA150" s="27"/>
      <c r="BB150" s="27"/>
      <c r="BH150" s="141"/>
      <c r="BI150" s="141"/>
      <c r="BJ150" s="141"/>
      <c r="BK150" s="141"/>
      <c r="BL150" s="141"/>
      <c r="BM150" s="141"/>
      <c r="BN150" s="141"/>
      <c r="BO150" s="141"/>
      <c r="BP150" s="141"/>
      <c r="CK150" s="7"/>
      <c r="CL150" s="7"/>
      <c r="CM150" s="20"/>
      <c r="CN150" s="2"/>
      <c r="CO150" s="185"/>
      <c r="CP150" s="2"/>
      <c r="CQ150" s="2"/>
      <c r="CR150" s="185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>
        <f t="shared" si="272"/>
      </c>
      <c r="DF150" s="2">
        <f t="shared" si="206"/>
      </c>
      <c r="DG150" s="129"/>
      <c r="DH150" s="2"/>
      <c r="DI150" s="2"/>
      <c r="DJ150" s="129"/>
      <c r="DK150" s="2"/>
      <c r="DL150" s="2"/>
      <c r="DM150" s="129"/>
      <c r="DN150" s="2">
        <f t="shared" si="324"/>
      </c>
      <c r="DO150" s="2">
        <f t="shared" si="325"/>
      </c>
      <c r="DP150" s="129">
        <f t="shared" si="311"/>
      </c>
      <c r="DQ150" s="2">
        <f t="shared" si="326"/>
      </c>
      <c r="DR150" s="2">
        <f t="shared" si="327"/>
      </c>
      <c r="DS150" s="129">
        <f t="shared" si="312"/>
      </c>
      <c r="DT150" s="2">
        <f t="shared" si="328"/>
      </c>
      <c r="DU150" s="2">
        <f t="shared" si="329"/>
      </c>
      <c r="DV150" s="129">
        <f t="shared" si="313"/>
      </c>
      <c r="DW150" s="2">
        <f t="shared" si="314"/>
      </c>
      <c r="DX150" s="2">
        <f t="shared" si="315"/>
      </c>
      <c r="DY150" s="129">
        <f t="shared" si="316"/>
      </c>
      <c r="DZ150" s="129"/>
      <c r="EA150" s="21"/>
      <c r="EB150" s="2"/>
      <c r="EC150" s="2"/>
      <c r="ED150" s="2"/>
      <c r="EE150" s="2"/>
      <c r="EF150" s="382"/>
      <c r="EG150" s="382"/>
      <c r="EH150" s="382"/>
      <c r="EI150" s="382"/>
      <c r="EJ150" s="208"/>
      <c r="EK150" s="2"/>
      <c r="EL150" s="2"/>
      <c r="EP150" s="215"/>
      <c r="EQ150" s="215"/>
      <c r="ER150" s="215"/>
      <c r="FC150" s="140"/>
      <c r="FD150" s="218"/>
      <c r="FE150" s="218"/>
      <c r="FF150" s="218"/>
      <c r="FG150" s="218"/>
      <c r="FH150" s="218"/>
      <c r="FI150" s="218"/>
      <c r="FJ150" s="218"/>
      <c r="FK150" s="328"/>
      <c r="FL150" s="328"/>
      <c r="FM150" s="328"/>
      <c r="FN150" s="328"/>
      <c r="FP150" s="328"/>
      <c r="FQ150" s="328"/>
      <c r="FR150" s="328"/>
      <c r="FS150" s="328"/>
      <c r="GF150" s="140"/>
      <c r="GG150" s="140"/>
      <c r="GH150" s="140"/>
      <c r="GJ150" s="218"/>
    </row>
    <row r="151" spans="2:192" s="137" customFormat="1" ht="16.5">
      <c r="B151" s="54"/>
      <c r="C151" s="54"/>
      <c r="D151" s="26"/>
      <c r="E151" s="26"/>
      <c r="F151" s="26"/>
      <c r="G151" s="54"/>
      <c r="H151" s="133"/>
      <c r="I151" s="133"/>
      <c r="J151" s="54"/>
      <c r="K151" s="118"/>
      <c r="L151" s="118"/>
      <c r="M151" s="118"/>
      <c r="N151" s="564"/>
      <c r="O151" s="564"/>
      <c r="P151" s="564"/>
      <c r="Q151" s="564"/>
      <c r="R151" s="135"/>
      <c r="S151" s="134"/>
      <c r="T151" s="134"/>
      <c r="U151" s="134"/>
      <c r="V151" s="139"/>
      <c r="W151" s="139"/>
      <c r="X151" s="139"/>
      <c r="Y151" s="139"/>
      <c r="AP151" s="140"/>
      <c r="AQ151" s="140"/>
      <c r="AZ151" s="27"/>
      <c r="BA151" s="27"/>
      <c r="BB151" s="27"/>
      <c r="BH151" s="141"/>
      <c r="BI151" s="141"/>
      <c r="BJ151" s="141"/>
      <c r="BK151" s="141"/>
      <c r="BL151" s="141"/>
      <c r="BM151" s="141"/>
      <c r="BN151" s="141"/>
      <c r="BO151" s="141"/>
      <c r="BP151" s="141"/>
      <c r="CK151" s="7"/>
      <c r="CL151" s="7"/>
      <c r="CM151" s="20"/>
      <c r="CN151" s="2"/>
      <c r="CO151" s="185"/>
      <c r="CP151" s="2"/>
      <c r="CQ151" s="2"/>
      <c r="CR151" s="185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>
        <f t="shared" si="272"/>
      </c>
      <c r="DF151" s="2">
        <f t="shared" si="206"/>
      </c>
      <c r="DG151" s="129"/>
      <c r="DH151" s="2"/>
      <c r="DI151" s="2"/>
      <c r="DJ151" s="129"/>
      <c r="DK151" s="2"/>
      <c r="DL151" s="2"/>
      <c r="DM151" s="129"/>
      <c r="DN151" s="2">
        <f t="shared" si="324"/>
      </c>
      <c r="DO151" s="2">
        <f t="shared" si="325"/>
      </c>
      <c r="DP151" s="129">
        <f t="shared" si="311"/>
      </c>
      <c r="DQ151" s="2">
        <f t="shared" si="326"/>
      </c>
      <c r="DR151" s="2">
        <f t="shared" si="327"/>
      </c>
      <c r="DS151" s="129">
        <f t="shared" si="312"/>
      </c>
      <c r="DT151" s="2">
        <f t="shared" si="328"/>
      </c>
      <c r="DU151" s="2">
        <f t="shared" si="329"/>
      </c>
      <c r="DV151" s="129">
        <f t="shared" si="313"/>
      </c>
      <c r="DW151" s="2">
        <f t="shared" si="314"/>
      </c>
      <c r="DX151" s="2">
        <f t="shared" si="315"/>
      </c>
      <c r="DY151" s="129">
        <f t="shared" si="316"/>
      </c>
      <c r="DZ151" s="129"/>
      <c r="EA151" s="21"/>
      <c r="EB151" s="2"/>
      <c r="EC151" s="2"/>
      <c r="ED151" s="2"/>
      <c r="EE151" s="2"/>
      <c r="EF151" s="382"/>
      <c r="EG151" s="382"/>
      <c r="EH151" s="382"/>
      <c r="EI151" s="382"/>
      <c r="EJ151" s="208"/>
      <c r="EK151" s="2"/>
      <c r="EL151" s="2"/>
      <c r="EP151" s="215"/>
      <c r="EQ151" s="215"/>
      <c r="ER151" s="215"/>
      <c r="FC151" s="140"/>
      <c r="FD151" s="218"/>
      <c r="FE151" s="218"/>
      <c r="FF151" s="218"/>
      <c r="FG151" s="218"/>
      <c r="FH151" s="218"/>
      <c r="FI151" s="218"/>
      <c r="FJ151" s="218"/>
      <c r="FK151" s="328"/>
      <c r="FL151" s="328"/>
      <c r="FM151" s="328"/>
      <c r="FN151" s="328"/>
      <c r="FP151" s="328"/>
      <c r="FQ151" s="328"/>
      <c r="FR151" s="328"/>
      <c r="FS151" s="328"/>
      <c r="GF151" s="140"/>
      <c r="GG151" s="140"/>
      <c r="GH151" s="140"/>
      <c r="GJ151" s="218"/>
    </row>
    <row r="152" spans="2:192" s="137" customFormat="1" ht="16.5">
      <c r="B152" s="54"/>
      <c r="C152" s="54"/>
      <c r="D152" s="26"/>
      <c r="E152" s="26"/>
      <c r="F152" s="26"/>
      <c r="G152" s="54"/>
      <c r="H152" s="133"/>
      <c r="I152" s="133"/>
      <c r="J152" s="54"/>
      <c r="K152" s="118"/>
      <c r="L152" s="118"/>
      <c r="M152" s="118"/>
      <c r="N152" s="564"/>
      <c r="O152" s="564"/>
      <c r="P152" s="564"/>
      <c r="Q152" s="564"/>
      <c r="R152" s="135"/>
      <c r="S152" s="134"/>
      <c r="T152" s="134"/>
      <c r="U152" s="134"/>
      <c r="V152" s="139"/>
      <c r="W152" s="139"/>
      <c r="X152" s="139"/>
      <c r="Y152" s="139"/>
      <c r="AP152" s="140"/>
      <c r="AQ152" s="140"/>
      <c r="AZ152" s="27"/>
      <c r="BA152" s="27"/>
      <c r="BB152" s="27"/>
      <c r="BH152" s="141"/>
      <c r="BI152" s="141"/>
      <c r="BJ152" s="141"/>
      <c r="BK152" s="141"/>
      <c r="BL152" s="141"/>
      <c r="BM152" s="141"/>
      <c r="BN152" s="141"/>
      <c r="BO152" s="141"/>
      <c r="BP152" s="141"/>
      <c r="CK152" s="7"/>
      <c r="CL152" s="7"/>
      <c r="CM152" s="20"/>
      <c r="CN152" s="2"/>
      <c r="CO152" s="185"/>
      <c r="CP152" s="2"/>
      <c r="CQ152" s="2"/>
      <c r="CR152" s="185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>
        <f t="shared" si="272"/>
      </c>
      <c r="DF152" s="2">
        <f t="shared" si="206"/>
      </c>
      <c r="DG152" s="129"/>
      <c r="DH152" s="2"/>
      <c r="DI152" s="2"/>
      <c r="DJ152" s="129"/>
      <c r="DK152" s="2"/>
      <c r="DL152" s="2"/>
      <c r="DM152" s="129"/>
      <c r="DN152" s="2">
        <f t="shared" si="324"/>
      </c>
      <c r="DO152" s="2">
        <f t="shared" si="325"/>
      </c>
      <c r="DP152" s="129">
        <f t="shared" si="311"/>
      </c>
      <c r="DQ152" s="2">
        <f t="shared" si="326"/>
      </c>
      <c r="DR152" s="2">
        <f t="shared" si="327"/>
      </c>
      <c r="DS152" s="129">
        <f t="shared" si="312"/>
      </c>
      <c r="DT152" s="2">
        <f t="shared" si="328"/>
      </c>
      <c r="DU152" s="2">
        <f t="shared" si="329"/>
      </c>
      <c r="DV152" s="129">
        <f t="shared" si="313"/>
      </c>
      <c r="DW152" s="2">
        <f t="shared" si="314"/>
      </c>
      <c r="DX152" s="2">
        <f t="shared" si="315"/>
      </c>
      <c r="DY152" s="129">
        <f t="shared" si="316"/>
      </c>
      <c r="DZ152" s="129"/>
      <c r="EA152" s="21"/>
      <c r="EB152" s="2"/>
      <c r="EC152" s="2"/>
      <c r="ED152" s="2"/>
      <c r="EE152" s="2"/>
      <c r="EF152" s="382"/>
      <c r="EG152" s="382"/>
      <c r="EH152" s="382"/>
      <c r="EI152" s="382"/>
      <c r="EJ152" s="208"/>
      <c r="EK152" s="2"/>
      <c r="EL152" s="2"/>
      <c r="EP152" s="215"/>
      <c r="EQ152" s="215"/>
      <c r="ER152" s="215"/>
      <c r="FC152" s="140"/>
      <c r="FD152" s="218"/>
      <c r="FE152" s="218"/>
      <c r="FF152" s="218"/>
      <c r="FG152" s="218"/>
      <c r="FH152" s="218"/>
      <c r="FI152" s="218"/>
      <c r="FJ152" s="218"/>
      <c r="FK152" s="328"/>
      <c r="FL152" s="328"/>
      <c r="FM152" s="328"/>
      <c r="FN152" s="328"/>
      <c r="FP152" s="328"/>
      <c r="FQ152" s="328"/>
      <c r="FR152" s="328"/>
      <c r="FS152" s="328"/>
      <c r="GF152" s="140"/>
      <c r="GG152" s="140"/>
      <c r="GH152" s="140"/>
      <c r="GJ152" s="218"/>
    </row>
    <row r="153" spans="2:192" s="137" customFormat="1" ht="16.5">
      <c r="B153" s="54"/>
      <c r="C153" s="54"/>
      <c r="D153" s="26"/>
      <c r="E153" s="26"/>
      <c r="F153" s="26"/>
      <c r="G153" s="54"/>
      <c r="H153" s="133"/>
      <c r="I153" s="133"/>
      <c r="J153" s="54"/>
      <c r="K153" s="118"/>
      <c r="L153" s="118"/>
      <c r="M153" s="118"/>
      <c r="N153" s="564"/>
      <c r="O153" s="564"/>
      <c r="P153" s="564"/>
      <c r="Q153" s="564"/>
      <c r="R153" s="135"/>
      <c r="S153" s="134"/>
      <c r="T153" s="134"/>
      <c r="U153" s="134"/>
      <c r="V153" s="139"/>
      <c r="W153" s="139"/>
      <c r="X153" s="139"/>
      <c r="Y153" s="139"/>
      <c r="AP153" s="140"/>
      <c r="AQ153" s="140"/>
      <c r="AZ153" s="27"/>
      <c r="BA153" s="27"/>
      <c r="BB153" s="27"/>
      <c r="BH153" s="141"/>
      <c r="BI153" s="141"/>
      <c r="BJ153" s="141"/>
      <c r="BK153" s="141"/>
      <c r="BL153" s="141"/>
      <c r="BM153" s="141"/>
      <c r="BN153" s="141"/>
      <c r="BO153" s="141"/>
      <c r="BP153" s="141"/>
      <c r="CK153" s="7"/>
      <c r="CL153" s="7"/>
      <c r="CM153" s="20"/>
      <c r="CN153" s="2"/>
      <c r="CO153" s="185"/>
      <c r="CP153" s="2"/>
      <c r="CQ153" s="2"/>
      <c r="CR153" s="185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>
        <f t="shared" si="272"/>
      </c>
      <c r="DF153" s="2">
        <f t="shared" si="206"/>
      </c>
      <c r="DG153" s="129"/>
      <c r="DH153" s="2"/>
      <c r="DI153" s="2"/>
      <c r="DJ153" s="129"/>
      <c r="DK153" s="2"/>
      <c r="DL153" s="2"/>
      <c r="DM153" s="129"/>
      <c r="DN153" s="2">
        <f t="shared" si="324"/>
      </c>
      <c r="DO153" s="2">
        <f t="shared" si="325"/>
      </c>
      <c r="DP153" s="129">
        <f t="shared" si="311"/>
      </c>
      <c r="DQ153" s="2">
        <f t="shared" si="326"/>
      </c>
      <c r="DR153" s="2">
        <f t="shared" si="327"/>
      </c>
      <c r="DS153" s="129">
        <f t="shared" si="312"/>
      </c>
      <c r="DT153" s="2">
        <f t="shared" si="328"/>
      </c>
      <c r="DU153" s="2">
        <f t="shared" si="329"/>
      </c>
      <c r="DV153" s="129">
        <f t="shared" si="313"/>
      </c>
      <c r="DW153" s="2">
        <f t="shared" si="314"/>
      </c>
      <c r="DX153" s="2">
        <f t="shared" si="315"/>
      </c>
      <c r="DY153" s="129">
        <f t="shared" si="316"/>
      </c>
      <c r="DZ153" s="129"/>
      <c r="EA153" s="21"/>
      <c r="EB153" s="2"/>
      <c r="EC153" s="2"/>
      <c r="ED153" s="2"/>
      <c r="EE153" s="2"/>
      <c r="EF153" s="382"/>
      <c r="EG153" s="382"/>
      <c r="EH153" s="382"/>
      <c r="EI153" s="382"/>
      <c r="EJ153" s="208"/>
      <c r="EK153" s="2"/>
      <c r="EL153" s="2"/>
      <c r="EP153" s="215"/>
      <c r="EQ153" s="215"/>
      <c r="ER153" s="215"/>
      <c r="FC153" s="140"/>
      <c r="FD153" s="218"/>
      <c r="FE153" s="218"/>
      <c r="FF153" s="218"/>
      <c r="FG153" s="218"/>
      <c r="FH153" s="218"/>
      <c r="FI153" s="218"/>
      <c r="FJ153" s="218"/>
      <c r="FK153" s="328"/>
      <c r="FL153" s="328"/>
      <c r="FM153" s="328"/>
      <c r="FN153" s="328"/>
      <c r="FP153" s="328"/>
      <c r="FQ153" s="328"/>
      <c r="FR153" s="328"/>
      <c r="FS153" s="328"/>
      <c r="GF153" s="140"/>
      <c r="GG153" s="140"/>
      <c r="GH153" s="140"/>
      <c r="GJ153" s="218"/>
    </row>
    <row r="154" spans="2:192" s="137" customFormat="1" ht="16.5">
      <c r="B154" s="54"/>
      <c r="C154" s="54"/>
      <c r="D154" s="26"/>
      <c r="E154" s="26"/>
      <c r="F154" s="26"/>
      <c r="G154" s="54"/>
      <c r="H154" s="133"/>
      <c r="I154" s="133"/>
      <c r="J154" s="54"/>
      <c r="K154" s="118"/>
      <c r="L154" s="118"/>
      <c r="M154" s="118"/>
      <c r="N154" s="564"/>
      <c r="O154" s="564"/>
      <c r="P154" s="564"/>
      <c r="Q154" s="564"/>
      <c r="R154" s="135"/>
      <c r="S154" s="134"/>
      <c r="T154" s="134"/>
      <c r="U154" s="134"/>
      <c r="V154" s="139"/>
      <c r="W154" s="139"/>
      <c r="X154" s="139"/>
      <c r="Y154" s="139"/>
      <c r="AP154" s="140"/>
      <c r="AQ154" s="140"/>
      <c r="AZ154" s="27"/>
      <c r="BA154" s="27"/>
      <c r="BB154" s="27"/>
      <c r="BH154" s="141"/>
      <c r="BI154" s="141"/>
      <c r="BJ154" s="141"/>
      <c r="BK154" s="141"/>
      <c r="BL154" s="141"/>
      <c r="BM154" s="141"/>
      <c r="BN154" s="141"/>
      <c r="BO154" s="141"/>
      <c r="BP154" s="141"/>
      <c r="CK154" s="7"/>
      <c r="CL154" s="7"/>
      <c r="CM154" s="20"/>
      <c r="CN154" s="2"/>
      <c r="CO154" s="185"/>
      <c r="CP154" s="2"/>
      <c r="CQ154" s="2"/>
      <c r="CR154" s="185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>
        <f t="shared" si="272"/>
      </c>
      <c r="DF154" s="2">
        <f t="shared" si="206"/>
      </c>
      <c r="DG154" s="129"/>
      <c r="DH154" s="2"/>
      <c r="DI154" s="2"/>
      <c r="DJ154" s="129"/>
      <c r="DK154" s="2"/>
      <c r="DL154" s="2"/>
      <c r="DM154" s="129"/>
      <c r="DN154" s="2">
        <f t="shared" si="324"/>
      </c>
      <c r="DO154" s="2">
        <f t="shared" si="325"/>
      </c>
      <c r="DP154" s="129">
        <f t="shared" si="311"/>
      </c>
      <c r="DQ154" s="2">
        <f t="shared" si="326"/>
      </c>
      <c r="DR154" s="2">
        <f t="shared" si="327"/>
      </c>
      <c r="DS154" s="129">
        <f t="shared" si="312"/>
      </c>
      <c r="DT154" s="2">
        <f t="shared" si="328"/>
      </c>
      <c r="DU154" s="2">
        <f t="shared" si="329"/>
      </c>
      <c r="DV154" s="129">
        <f t="shared" si="313"/>
      </c>
      <c r="DW154" s="2">
        <f t="shared" si="314"/>
      </c>
      <c r="DX154" s="2">
        <f t="shared" si="315"/>
      </c>
      <c r="DY154" s="129">
        <f t="shared" si="316"/>
      </c>
      <c r="DZ154" s="129"/>
      <c r="EA154" s="21"/>
      <c r="EB154" s="2"/>
      <c r="EC154" s="2"/>
      <c r="ED154" s="2"/>
      <c r="EE154" s="2"/>
      <c r="EF154" s="382"/>
      <c r="EG154" s="382"/>
      <c r="EH154" s="382"/>
      <c r="EI154" s="382"/>
      <c r="EJ154" s="208"/>
      <c r="EK154" s="2"/>
      <c r="EL154" s="2"/>
      <c r="EP154" s="215"/>
      <c r="EQ154" s="215"/>
      <c r="ER154" s="215"/>
      <c r="FC154" s="140"/>
      <c r="FD154" s="218"/>
      <c r="FE154" s="218"/>
      <c r="FF154" s="218"/>
      <c r="FG154" s="218"/>
      <c r="FH154" s="218"/>
      <c r="FI154" s="218"/>
      <c r="FJ154" s="218"/>
      <c r="FK154" s="328"/>
      <c r="FL154" s="328"/>
      <c r="FM154" s="328"/>
      <c r="FN154" s="328"/>
      <c r="FP154" s="328"/>
      <c r="FQ154" s="328"/>
      <c r="FR154" s="328"/>
      <c r="FS154" s="328"/>
      <c r="GF154" s="140"/>
      <c r="GG154" s="140"/>
      <c r="GH154" s="140"/>
      <c r="GJ154" s="218"/>
    </row>
    <row r="155" spans="2:192" s="137" customFormat="1" ht="16.5">
      <c r="B155" s="54"/>
      <c r="C155" s="54"/>
      <c r="D155" s="26"/>
      <c r="E155" s="26"/>
      <c r="F155" s="26"/>
      <c r="G155" s="54"/>
      <c r="H155" s="133"/>
      <c r="I155" s="133"/>
      <c r="J155" s="54"/>
      <c r="K155" s="118"/>
      <c r="L155" s="118"/>
      <c r="M155" s="118"/>
      <c r="N155" s="564"/>
      <c r="O155" s="564"/>
      <c r="P155" s="564"/>
      <c r="Q155" s="564"/>
      <c r="R155" s="135"/>
      <c r="S155" s="134"/>
      <c r="T155" s="134"/>
      <c r="U155" s="134"/>
      <c r="V155" s="139"/>
      <c r="W155" s="139"/>
      <c r="X155" s="139"/>
      <c r="Y155" s="139"/>
      <c r="AP155" s="140"/>
      <c r="AQ155" s="140"/>
      <c r="AZ155" s="27"/>
      <c r="BA155" s="27"/>
      <c r="BB155" s="27"/>
      <c r="BH155" s="141"/>
      <c r="BI155" s="141"/>
      <c r="BJ155" s="141"/>
      <c r="BK155" s="141"/>
      <c r="BL155" s="141"/>
      <c r="BM155" s="141"/>
      <c r="BN155" s="141"/>
      <c r="BO155" s="141"/>
      <c r="BP155" s="141"/>
      <c r="CK155" s="7"/>
      <c r="CL155" s="7"/>
      <c r="CM155" s="20"/>
      <c r="CN155" s="2"/>
      <c r="CO155" s="185"/>
      <c r="CP155" s="2"/>
      <c r="CQ155" s="2"/>
      <c r="CR155" s="185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>
        <f t="shared" si="272"/>
      </c>
      <c r="DF155" s="2">
        <f t="shared" si="206"/>
      </c>
      <c r="DG155" s="129"/>
      <c r="DH155" s="2"/>
      <c r="DI155" s="2"/>
      <c r="DJ155" s="129"/>
      <c r="DK155" s="2"/>
      <c r="DL155" s="2"/>
      <c r="DM155" s="129"/>
      <c r="DN155" s="2">
        <f t="shared" si="324"/>
      </c>
      <c r="DO155" s="2">
        <f t="shared" si="325"/>
      </c>
      <c r="DP155" s="129">
        <f t="shared" si="311"/>
      </c>
      <c r="DQ155" s="2">
        <f t="shared" si="326"/>
      </c>
      <c r="DR155" s="2">
        <f t="shared" si="327"/>
      </c>
      <c r="DS155" s="129">
        <f t="shared" si="312"/>
      </c>
      <c r="DT155" s="2">
        <f t="shared" si="328"/>
      </c>
      <c r="DU155" s="2">
        <f t="shared" si="329"/>
      </c>
      <c r="DV155" s="129">
        <f t="shared" si="313"/>
      </c>
      <c r="DW155" s="2">
        <f t="shared" si="314"/>
      </c>
      <c r="DX155" s="2">
        <f t="shared" si="315"/>
      </c>
      <c r="DY155" s="129">
        <f t="shared" si="316"/>
      </c>
      <c r="DZ155" s="129"/>
      <c r="EA155" s="21"/>
      <c r="EB155" s="2"/>
      <c r="EC155" s="2"/>
      <c r="ED155" s="2"/>
      <c r="EE155" s="2"/>
      <c r="EF155" s="382"/>
      <c r="EG155" s="382"/>
      <c r="EH155" s="382"/>
      <c r="EI155" s="382"/>
      <c r="EJ155" s="208"/>
      <c r="EK155" s="2"/>
      <c r="EL155" s="2"/>
      <c r="EP155" s="215"/>
      <c r="EQ155" s="215"/>
      <c r="ER155" s="215"/>
      <c r="FC155" s="140"/>
      <c r="FD155" s="218"/>
      <c r="FE155" s="218"/>
      <c r="FF155" s="218"/>
      <c r="FG155" s="218"/>
      <c r="FH155" s="218"/>
      <c r="FI155" s="218"/>
      <c r="FJ155" s="218"/>
      <c r="FK155" s="328"/>
      <c r="FL155" s="328"/>
      <c r="FM155" s="328"/>
      <c r="FN155" s="328"/>
      <c r="FP155" s="328"/>
      <c r="FQ155" s="328"/>
      <c r="FR155" s="328"/>
      <c r="FS155" s="328"/>
      <c r="GF155" s="140"/>
      <c r="GG155" s="140"/>
      <c r="GH155" s="140"/>
      <c r="GJ155" s="218"/>
    </row>
    <row r="156" spans="2:192" s="137" customFormat="1" ht="16.5">
      <c r="B156" s="54"/>
      <c r="C156" s="54"/>
      <c r="D156" s="26"/>
      <c r="E156" s="26"/>
      <c r="F156" s="26"/>
      <c r="G156" s="54"/>
      <c r="H156" s="133"/>
      <c r="I156" s="133"/>
      <c r="J156" s="54"/>
      <c r="K156" s="118"/>
      <c r="L156" s="118"/>
      <c r="M156" s="118"/>
      <c r="N156" s="564"/>
      <c r="O156" s="564"/>
      <c r="P156" s="564"/>
      <c r="Q156" s="564"/>
      <c r="R156" s="135"/>
      <c r="S156" s="134"/>
      <c r="T156" s="134"/>
      <c r="U156" s="134"/>
      <c r="V156" s="139"/>
      <c r="W156" s="139"/>
      <c r="X156" s="139"/>
      <c r="Y156" s="139"/>
      <c r="AP156" s="140"/>
      <c r="AQ156" s="140"/>
      <c r="AZ156" s="27"/>
      <c r="BA156" s="27"/>
      <c r="BB156" s="27"/>
      <c r="BH156" s="141"/>
      <c r="BI156" s="141"/>
      <c r="BJ156" s="141"/>
      <c r="BK156" s="141"/>
      <c r="BL156" s="141"/>
      <c r="BM156" s="141"/>
      <c r="BN156" s="141"/>
      <c r="BO156" s="141"/>
      <c r="BP156" s="141"/>
      <c r="CK156" s="7"/>
      <c r="CL156" s="7"/>
      <c r="CM156" s="20"/>
      <c r="CN156" s="2"/>
      <c r="CO156" s="185"/>
      <c r="CP156" s="2"/>
      <c r="CQ156" s="2"/>
      <c r="CR156" s="185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>
        <f t="shared" si="272"/>
      </c>
      <c r="DF156" s="2">
        <f aca="true" t="shared" si="345" ref="DF156:DF176">IF(DD156="","",IF(DE156="",IF(OR(AND(DD156&gt;7,OR(AND(CO156&gt;1,CO156&lt;=7),AND(CR156&gt;1,CR156&lt;=7))),AND(DD156&gt;7,OR(RIGHT(CN156,4)=".8.1",RIGHT(CQ156,4)=".8.1"))),CM156+1&amp;".8.1。【說明：原實際條件成就之日期為"&amp;DC156&amp;"，惟因須配合學期暨受次年度指標數增加之影響，而必須二次遞延至當學年度結束之次日，始能退休生效，爰推算為"&amp;CM156+1&amp;".8.1】",CM156+2&amp;".2.1。【說明：原實際條件成就之日期為"&amp;DC156&amp;"，惟因須配合學期暨受次年度指標數增加之影響，而必須三次遞延至次學年度第一學期結束之次日，始能退休生效，爰推算為"&amp;CM156+2&amp;".2.1】"),""))</f>
      </c>
      <c r="DG156" s="129"/>
      <c r="DH156" s="2"/>
      <c r="DI156" s="2"/>
      <c r="DJ156" s="129"/>
      <c r="DK156" s="2"/>
      <c r="DL156" s="2"/>
      <c r="DM156" s="129"/>
      <c r="DN156" s="2">
        <f t="shared" si="324"/>
      </c>
      <c r="DO156" s="2">
        <f t="shared" si="325"/>
      </c>
      <c r="DP156" s="129">
        <f t="shared" si="311"/>
      </c>
      <c r="DQ156" s="2">
        <f t="shared" si="326"/>
      </c>
      <c r="DR156" s="2">
        <f t="shared" si="327"/>
      </c>
      <c r="DS156" s="129">
        <f t="shared" si="312"/>
      </c>
      <c r="DT156" s="2">
        <f t="shared" si="328"/>
      </c>
      <c r="DU156" s="2">
        <f t="shared" si="329"/>
      </c>
      <c r="DV156" s="129">
        <f t="shared" si="313"/>
      </c>
      <c r="DW156" s="2">
        <f t="shared" si="314"/>
      </c>
      <c r="DX156" s="2">
        <f t="shared" si="315"/>
      </c>
      <c r="DY156" s="129">
        <f t="shared" si="316"/>
      </c>
      <c r="DZ156" s="129"/>
      <c r="EA156" s="21"/>
      <c r="EB156" s="2"/>
      <c r="EC156" s="2"/>
      <c r="ED156" s="2"/>
      <c r="EE156" s="2"/>
      <c r="EF156" s="382"/>
      <c r="EG156" s="382"/>
      <c r="EH156" s="382"/>
      <c r="EI156" s="382"/>
      <c r="EJ156" s="208"/>
      <c r="EK156" s="2"/>
      <c r="EL156" s="2"/>
      <c r="EP156" s="215"/>
      <c r="EQ156" s="215"/>
      <c r="ER156" s="215"/>
      <c r="FC156" s="140"/>
      <c r="FD156" s="218"/>
      <c r="FE156" s="218"/>
      <c r="FF156" s="218"/>
      <c r="FG156" s="218"/>
      <c r="FH156" s="218"/>
      <c r="FI156" s="218"/>
      <c r="FJ156" s="218"/>
      <c r="FK156" s="328"/>
      <c r="FL156" s="328"/>
      <c r="FM156" s="328"/>
      <c r="FN156" s="328"/>
      <c r="FP156" s="328"/>
      <c r="FQ156" s="328"/>
      <c r="FR156" s="328"/>
      <c r="FS156" s="328"/>
      <c r="GF156" s="140"/>
      <c r="GG156" s="140"/>
      <c r="GH156" s="140"/>
      <c r="GJ156" s="218"/>
    </row>
    <row r="157" spans="2:192" s="137" customFormat="1" ht="16.5">
      <c r="B157" s="54"/>
      <c r="C157" s="54"/>
      <c r="D157" s="26"/>
      <c r="E157" s="26"/>
      <c r="F157" s="26"/>
      <c r="G157" s="54"/>
      <c r="H157" s="133"/>
      <c r="I157" s="133"/>
      <c r="J157" s="54"/>
      <c r="K157" s="118"/>
      <c r="L157" s="118"/>
      <c r="M157" s="118"/>
      <c r="N157" s="564"/>
      <c r="O157" s="564"/>
      <c r="P157" s="564"/>
      <c r="Q157" s="564"/>
      <c r="R157" s="135"/>
      <c r="S157" s="134"/>
      <c r="T157" s="134"/>
      <c r="U157" s="134"/>
      <c r="V157" s="139"/>
      <c r="W157" s="139"/>
      <c r="X157" s="139"/>
      <c r="Y157" s="139"/>
      <c r="AP157" s="140"/>
      <c r="AQ157" s="140"/>
      <c r="AZ157" s="27"/>
      <c r="BA157" s="27"/>
      <c r="BB157" s="27"/>
      <c r="BH157" s="141"/>
      <c r="BI157" s="141"/>
      <c r="BJ157" s="141"/>
      <c r="BK157" s="141"/>
      <c r="BL157" s="141"/>
      <c r="BM157" s="141"/>
      <c r="BN157" s="141"/>
      <c r="BO157" s="141"/>
      <c r="BP157" s="141"/>
      <c r="CK157" s="7"/>
      <c r="CL157" s="7"/>
      <c r="CM157" s="20"/>
      <c r="CN157" s="2"/>
      <c r="CO157" s="185"/>
      <c r="CP157" s="2"/>
      <c r="CQ157" s="2"/>
      <c r="CR157" s="185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>
        <f aca="true" t="shared" si="346" ref="DE157:DE176">IF(DD157="","",IF(DD157=1,CM157&amp;".2.1。【說明：原實際條件成就之日期為"&amp;DC157&amp;"，惟因須配合學期而延至當學期結束之次日，始能退休生效，爰推算為"&amp;CM157&amp;".2.1】",IF(AND(DD157&lt;=7,DD157&gt;1),CM157&amp;".8.1。【說明：原實際條件成就之日期為"&amp;DC157&amp;"，惟因須配合學期而延至當學年度結束之次日，始能退休生效，爰推算為"&amp;CM157&amp;".8.1】",IF(OR(AND(DD157&gt;7,OR(CO157=1,CR157=1)),AND(DD157&gt;7,OR(RIGHT(CN157,4)=".2.1",RIGHT(CQ157,4)=".2.1"))),CM157+1&amp;".2.1。【說明：原實際條件成就之日期為"&amp;DC157&amp;"，惟因須配合學期而延至當學期結束之次日，始能退休生效，爰推算為"&amp;CM157+1&amp;".2.1】",""))))</f>
      </c>
      <c r="DF157" s="2">
        <f t="shared" si="345"/>
      </c>
      <c r="DG157" s="129"/>
      <c r="DH157" s="2"/>
      <c r="DI157" s="2"/>
      <c r="DJ157" s="129"/>
      <c r="DK157" s="2"/>
      <c r="DL157" s="2"/>
      <c r="DM157" s="129"/>
      <c r="DN157" s="2">
        <f aca="true" t="shared" si="347" ref="DN157:DN176">IF(AND(DA157=55,S157=55,T157=30),CY157,IF(AND(DA157=55,S157&gt;55,T157=30),CR157,IF(AND(DA157=55,S157=55,T157&gt;30),CO157,"")))</f>
      </c>
      <c r="DO157" s="2">
        <f aca="true" t="shared" si="348" ref="DO157:DO176">IF(AND(DA157=55,S157=55,T157=30),CX157,IF(AND(DA157=55,S157&gt;55,T157=30),CQ157,IF(AND(DA157=55,S157=55,T157&gt;30),CN157,"")))</f>
      </c>
      <c r="DP157" s="129">
        <f aca="true" t="shared" si="349" ref="DP157:DP176">IF(DN157="","",IF(RIGHT(DO157,4)=".8.1",CM157&amp;".8.1",IF(RIGHT(DO157,4)=".2.1",CM157&amp;".2.1",IF(DN157=1,CM157&amp;".2.1。【說明：原實際條件成就時間為"&amp;DO157&amp;"，惟因必須配合學期而延至當學期結束之次日，始能退休生效，爰推算為"&amp;CM157&amp;".2.1】",IF(AND(DN157&lt;=7,DN157&gt;1),CM157&amp;".8.1。【說明：原實際條件成就時間為"&amp;DO157&amp;"，惟因必須配合學期而延至當學年度結束之次日，始能退休生效，爰推算為"&amp;CM157&amp;".8.1】",CM157+1&amp;".2.1。【說明：原實際條件成就時間為"&amp;DO157&amp;"，惟因必須配合學期而延至當學期結束之次日，始能退休生效，爰推算為"&amp;CM157+1&amp;".2.1】")))))</f>
      </c>
      <c r="DQ157" s="2">
        <f aca="true" t="shared" si="350" ref="DQ157:DQ176">IF(AND(DA157=60,S157=60,T157=15),CY157,IF(AND(DA157=60,S157&gt;60,T157=15),CR157,IF(AND(DA157=60,S157=60,T157&gt;15),CO157,"")))</f>
      </c>
      <c r="DR157" s="2">
        <f aca="true" t="shared" si="351" ref="DR157:DR176">IF(AND(DA157=60,S157=60,T157=15),CX157,IF(AND(DA157=60,S157&gt;60,T157=15),CQ157,IF(AND(DA157=60,S157=60,T157&gt;15),CN157,"")))</f>
      </c>
      <c r="DS157" s="129">
        <f aca="true" t="shared" si="352" ref="DS157:DS176">IF(DQ157="","",IF(RIGHT(DR157,4)=".8.1",CM157&amp;".8.1",IF(RIGHT(DR157,4)=".2.1",CM157&amp;".2.1",IF(DQ157=1,CM157&amp;".2.1。【說明：原實際條件成就時間為"&amp;DR157&amp;"，惟因必須配合學期而延至當學期結束之次日，始能退休生效，爰推算為"&amp;CM157&amp;".2.1】",IF(AND(DQ157&lt;=7,DQ157&gt;1),CM157&amp;".8.1。【說明：原實際條件成就時間為"&amp;DR157&amp;"，惟因必須配合學期而延至當學年度結束之次日，始能退休生效，爰推算為"&amp;CM157&amp;".8.1】",CM157+1&amp;".2.1。【說明：原實際條件成就時間為"&amp;DR157&amp;"，惟因必須配合學期而延至當學期結束之次日，始能退休生效，爰推算為"&amp;CM157+1&amp;".2.1】")))))</f>
      </c>
      <c r="DT157" s="2">
        <f aca="true" t="shared" si="353" ref="DT157:DT176">IF(AND(DA157=85,S157=55,T157=30),CY157,IF(AND(DA157=85,S157&gt;55,T157=30),CR157,IF(AND(DA157=85,S157=55,T157&gt;30),CO157,IF(AND(DA157=85,S157=60,T157=15),CY157,IF(AND(DA157=85,S157&gt;60,T157=15),CR157,IF(AND(DA157=85,S157=60,T157&gt;15),CO157,""))))))</f>
      </c>
      <c r="DU157" s="2">
        <f aca="true" t="shared" si="354" ref="DU157:DU176">IF(AND(DA157=85,S157=55,T157=30),CX157,IF(AND(DA157=85,S157&gt;55,T157=30),CQ157,IF(AND(DA157=85,S157=55,T157&gt;30),CN157,IF(AND(DA157=85,S157=60,T157=15),CX157,IF(AND(DA157=85,S157&gt;60,T157=15),CQ157,IF(AND(DA157=85,S157=60,T157&gt;15),CN157,""))))))</f>
      </c>
      <c r="DV157" s="129">
        <f aca="true" t="shared" si="355" ref="DV157:DV176">IF(DT157="","",IF(RIGHT(DU157,4)=".8.1",CM157&amp;".8.1",IF(RIGHT(DU157,4)=".2.1",CM157&amp;".2.1",IF(DT157=1,CM157&amp;".2.1。【說明：原實際條件成就時間為"&amp;DU157&amp;"，惟因必須配合學期而延至當學期結束之次日，始能退休生效，爰推算為"&amp;CM157&amp;".2.1】",IF(AND(DT157&lt;=7,DT157&gt;1),CM157&amp;".8.1。【說明：原實際條件成就時間為"&amp;DU157&amp;"，惟因必須配合學期而延至當學年度結束之次日，始能退休生效，爰推算為"&amp;CM157&amp;".8.1】",CM157+1&amp;".2.1。【說明：原實際條件成就時間為"&amp;DU157&amp;"，惟因必須配合學期而延至當學期結束之次日，始能退休生效，爰推算為"&amp;CM157+1&amp;".2.1】")))))</f>
      </c>
      <c r="DW157" s="2">
        <f aca="true" t="shared" si="356" ref="DW157:DW176">IF(DA157=65,CO157,"")</f>
      </c>
      <c r="DX157" s="2">
        <f aca="true" t="shared" si="357" ref="DX157:DX176">IF(DA157=65,CN157,"")</f>
      </c>
      <c r="DY157" s="129">
        <f aca="true" t="shared" si="358" ref="DY157:DY176">IF(DW157="","",IF(RIGHT(DX157,4)=".8.1",CM157&amp;".8.1",IF(RIGHT(DX157,4)=".2.1",CM157&amp;".2.1",IF(DW157=1,CM157&amp;".2.1。【說明：原實際條件成就時間為"&amp;DX157&amp;"，惟因必須配合學期而延至當學期結束之次日，始能退休生效，爰推算為"&amp;CM157&amp;".2.1】",IF(AND(DW157&lt;=7,DW157&gt;1),CM157&amp;".8.1。【說明：原實際條件成就時間為"&amp;DX157&amp;"，惟因必須配合學期而延至當學年度結束之次日，始能退休生效，爰推算為"&amp;CM157&amp;".8.1】",CM157+1&amp;".2.1。【說明：原實際條件成就時間為"&amp;DX157&amp;"，惟因必須配合學期而延至當學期結束之次日，始能退休生效，爰推算為"&amp;CM157+1&amp;".2.1】")))))</f>
      </c>
      <c r="DZ157" s="129"/>
      <c r="EA157" s="21"/>
      <c r="EB157" s="2"/>
      <c r="EC157" s="2"/>
      <c r="ED157" s="2"/>
      <c r="EE157" s="2"/>
      <c r="EF157" s="2"/>
      <c r="EG157" s="2"/>
      <c r="EH157" s="2"/>
      <c r="EI157" s="2"/>
      <c r="EJ157" s="10"/>
      <c r="EK157" s="2"/>
      <c r="EL157" s="2"/>
      <c r="EP157" s="215"/>
      <c r="EQ157" s="215"/>
      <c r="ER157" s="215"/>
      <c r="FC157" s="140"/>
      <c r="FD157" s="218"/>
      <c r="FE157" s="218"/>
      <c r="FF157" s="218"/>
      <c r="FG157" s="218"/>
      <c r="FH157" s="218"/>
      <c r="FI157" s="218"/>
      <c r="FJ157" s="218"/>
      <c r="FK157" s="328"/>
      <c r="FL157" s="328"/>
      <c r="FM157" s="328"/>
      <c r="FN157" s="328"/>
      <c r="FP157" s="328"/>
      <c r="FQ157" s="328"/>
      <c r="FR157" s="328"/>
      <c r="FS157" s="328"/>
      <c r="GF157" s="140"/>
      <c r="GG157" s="140"/>
      <c r="GH157" s="140"/>
      <c r="GJ157" s="218"/>
    </row>
    <row r="158" spans="2:192" s="137" customFormat="1" ht="16.5">
      <c r="B158" s="54"/>
      <c r="C158" s="54"/>
      <c r="D158" s="26"/>
      <c r="E158" s="26"/>
      <c r="F158" s="26"/>
      <c r="G158" s="54"/>
      <c r="H158" s="133"/>
      <c r="I158" s="133"/>
      <c r="J158" s="54"/>
      <c r="K158" s="118"/>
      <c r="L158" s="118"/>
      <c r="M158" s="118"/>
      <c r="N158" s="564"/>
      <c r="O158" s="564"/>
      <c r="P158" s="564"/>
      <c r="Q158" s="564"/>
      <c r="R158" s="135"/>
      <c r="S158" s="134"/>
      <c r="T158" s="134"/>
      <c r="U158" s="134"/>
      <c r="V158" s="139"/>
      <c r="W158" s="139"/>
      <c r="X158" s="139"/>
      <c r="Y158" s="139"/>
      <c r="AP158" s="140"/>
      <c r="AQ158" s="140"/>
      <c r="AZ158" s="27"/>
      <c r="BA158" s="27"/>
      <c r="BB158" s="27"/>
      <c r="BH158" s="141"/>
      <c r="BI158" s="141"/>
      <c r="BJ158" s="141"/>
      <c r="BK158" s="141"/>
      <c r="BL158" s="141"/>
      <c r="BM158" s="141"/>
      <c r="BN158" s="141"/>
      <c r="BO158" s="141"/>
      <c r="BP158" s="141"/>
      <c r="CK158" s="7"/>
      <c r="CL158" s="7"/>
      <c r="CM158" s="20"/>
      <c r="CN158" s="2"/>
      <c r="CO158" s="185"/>
      <c r="CP158" s="2"/>
      <c r="CQ158" s="2"/>
      <c r="CR158" s="185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>
        <f t="shared" si="346"/>
      </c>
      <c r="DF158" s="2">
        <f t="shared" si="345"/>
      </c>
      <c r="DG158" s="129"/>
      <c r="DH158" s="2"/>
      <c r="DI158" s="2"/>
      <c r="DJ158" s="129"/>
      <c r="DK158" s="2"/>
      <c r="DL158" s="2"/>
      <c r="DM158" s="129"/>
      <c r="DN158" s="2">
        <f t="shared" si="347"/>
      </c>
      <c r="DO158" s="2">
        <f t="shared" si="348"/>
      </c>
      <c r="DP158" s="129">
        <f t="shared" si="349"/>
      </c>
      <c r="DQ158" s="2">
        <f t="shared" si="350"/>
      </c>
      <c r="DR158" s="2">
        <f t="shared" si="351"/>
      </c>
      <c r="DS158" s="129">
        <f t="shared" si="352"/>
      </c>
      <c r="DT158" s="2">
        <f t="shared" si="353"/>
      </c>
      <c r="DU158" s="2">
        <f t="shared" si="354"/>
      </c>
      <c r="DV158" s="129">
        <f t="shared" si="355"/>
      </c>
      <c r="DW158" s="2">
        <f t="shared" si="356"/>
      </c>
      <c r="DX158" s="2">
        <f t="shared" si="357"/>
      </c>
      <c r="DY158" s="129">
        <f t="shared" si="358"/>
      </c>
      <c r="DZ158" s="129"/>
      <c r="EA158" s="21"/>
      <c r="EB158" s="2"/>
      <c r="EC158" s="2"/>
      <c r="ED158" s="2"/>
      <c r="EE158" s="2"/>
      <c r="EF158" s="2"/>
      <c r="EG158" s="2"/>
      <c r="EH158" s="2"/>
      <c r="EI158" s="2"/>
      <c r="EJ158" s="10"/>
      <c r="EK158" s="2"/>
      <c r="EL158" s="2"/>
      <c r="EP158" s="215"/>
      <c r="EQ158" s="215"/>
      <c r="ER158" s="215"/>
      <c r="FC158" s="140"/>
      <c r="FD158" s="218"/>
      <c r="FE158" s="218"/>
      <c r="FF158" s="218"/>
      <c r="FG158" s="218"/>
      <c r="FH158" s="218"/>
      <c r="FI158" s="218"/>
      <c r="FJ158" s="218"/>
      <c r="FK158" s="328"/>
      <c r="FL158" s="328"/>
      <c r="FM158" s="328"/>
      <c r="FN158" s="328"/>
      <c r="FP158" s="328"/>
      <c r="FQ158" s="328"/>
      <c r="FR158" s="328"/>
      <c r="FS158" s="328"/>
      <c r="GF158" s="140"/>
      <c r="GG158" s="140"/>
      <c r="GH158" s="140"/>
      <c r="GJ158" s="218"/>
    </row>
    <row r="159" spans="2:192" s="137" customFormat="1" ht="16.5">
      <c r="B159" s="54"/>
      <c r="C159" s="54"/>
      <c r="D159" s="26"/>
      <c r="E159" s="26"/>
      <c r="F159" s="26"/>
      <c r="G159" s="54"/>
      <c r="H159" s="133"/>
      <c r="I159" s="133"/>
      <c r="J159" s="54"/>
      <c r="K159" s="118"/>
      <c r="L159" s="118"/>
      <c r="M159" s="118"/>
      <c r="N159" s="564"/>
      <c r="O159" s="564"/>
      <c r="P159" s="564"/>
      <c r="Q159" s="564"/>
      <c r="R159" s="135"/>
      <c r="S159" s="134"/>
      <c r="T159" s="134"/>
      <c r="U159" s="134"/>
      <c r="V159" s="139"/>
      <c r="W159" s="139"/>
      <c r="X159" s="139"/>
      <c r="Y159" s="139"/>
      <c r="AP159" s="140"/>
      <c r="AQ159" s="140"/>
      <c r="AZ159" s="27"/>
      <c r="BA159" s="27"/>
      <c r="BB159" s="27"/>
      <c r="BH159" s="141"/>
      <c r="BI159" s="141"/>
      <c r="BJ159" s="141"/>
      <c r="BK159" s="141"/>
      <c r="BL159" s="141"/>
      <c r="BM159" s="141"/>
      <c r="BN159" s="141"/>
      <c r="BO159" s="141"/>
      <c r="BP159" s="141"/>
      <c r="CK159" s="7"/>
      <c r="CL159" s="7"/>
      <c r="CM159" s="20"/>
      <c r="CN159" s="2"/>
      <c r="CO159" s="185"/>
      <c r="CP159" s="2"/>
      <c r="CQ159" s="2"/>
      <c r="CR159" s="185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>
        <f t="shared" si="346"/>
      </c>
      <c r="DF159" s="2">
        <f t="shared" si="345"/>
      </c>
      <c r="DG159" s="129"/>
      <c r="DH159" s="2"/>
      <c r="DI159" s="2"/>
      <c r="DJ159" s="129"/>
      <c r="DK159" s="2"/>
      <c r="DL159" s="2"/>
      <c r="DM159" s="129"/>
      <c r="DN159" s="2">
        <f t="shared" si="347"/>
      </c>
      <c r="DO159" s="2">
        <f t="shared" si="348"/>
      </c>
      <c r="DP159" s="129">
        <f t="shared" si="349"/>
      </c>
      <c r="DQ159" s="2">
        <f t="shared" si="350"/>
      </c>
      <c r="DR159" s="2">
        <f t="shared" si="351"/>
      </c>
      <c r="DS159" s="129">
        <f t="shared" si="352"/>
      </c>
      <c r="DT159" s="2">
        <f t="shared" si="353"/>
      </c>
      <c r="DU159" s="2">
        <f t="shared" si="354"/>
      </c>
      <c r="DV159" s="129">
        <f t="shared" si="355"/>
      </c>
      <c r="DW159" s="2">
        <f t="shared" si="356"/>
      </c>
      <c r="DX159" s="2">
        <f t="shared" si="357"/>
      </c>
      <c r="DY159" s="129">
        <f t="shared" si="358"/>
      </c>
      <c r="DZ159" s="129"/>
      <c r="EA159" s="21"/>
      <c r="EB159" s="2"/>
      <c r="EC159" s="2"/>
      <c r="ED159" s="2"/>
      <c r="EE159" s="2"/>
      <c r="EF159" s="2"/>
      <c r="EG159" s="2"/>
      <c r="EH159" s="2"/>
      <c r="EI159" s="2"/>
      <c r="EJ159" s="10"/>
      <c r="EK159" s="2"/>
      <c r="EL159" s="2"/>
      <c r="EP159" s="215"/>
      <c r="EQ159" s="215"/>
      <c r="ER159" s="215"/>
      <c r="FC159" s="140"/>
      <c r="FD159" s="218"/>
      <c r="FE159" s="218"/>
      <c r="FF159" s="218"/>
      <c r="FG159" s="218"/>
      <c r="FH159" s="218"/>
      <c r="FI159" s="218"/>
      <c r="FJ159" s="218"/>
      <c r="FK159" s="328"/>
      <c r="FL159" s="328"/>
      <c r="FM159" s="328"/>
      <c r="FN159" s="328"/>
      <c r="FP159" s="328"/>
      <c r="FQ159" s="328"/>
      <c r="FR159" s="328"/>
      <c r="FS159" s="328"/>
      <c r="GF159" s="140"/>
      <c r="GG159" s="140"/>
      <c r="GH159" s="140"/>
      <c r="GJ159" s="218"/>
    </row>
    <row r="160" spans="2:192" s="137" customFormat="1" ht="16.5">
      <c r="B160" s="54"/>
      <c r="C160" s="54"/>
      <c r="D160" s="26"/>
      <c r="E160" s="26"/>
      <c r="F160" s="26"/>
      <c r="G160" s="54"/>
      <c r="H160" s="133"/>
      <c r="I160" s="133"/>
      <c r="J160" s="54"/>
      <c r="K160" s="118"/>
      <c r="L160" s="118"/>
      <c r="M160" s="118"/>
      <c r="N160" s="564"/>
      <c r="O160" s="564"/>
      <c r="P160" s="564"/>
      <c r="Q160" s="564"/>
      <c r="R160" s="135"/>
      <c r="S160" s="134"/>
      <c r="T160" s="134"/>
      <c r="U160" s="134"/>
      <c r="V160" s="139"/>
      <c r="W160" s="139"/>
      <c r="X160" s="139"/>
      <c r="Y160" s="139"/>
      <c r="AP160" s="140"/>
      <c r="AQ160" s="140"/>
      <c r="AZ160" s="27"/>
      <c r="BA160" s="27"/>
      <c r="BB160" s="27"/>
      <c r="BH160" s="141"/>
      <c r="BI160" s="141"/>
      <c r="BJ160" s="141"/>
      <c r="BK160" s="141"/>
      <c r="BL160" s="141"/>
      <c r="BM160" s="141"/>
      <c r="BN160" s="141"/>
      <c r="BO160" s="141"/>
      <c r="BP160" s="141"/>
      <c r="CK160" s="7"/>
      <c r="CL160" s="7"/>
      <c r="CM160" s="20"/>
      <c r="CN160" s="2"/>
      <c r="CO160" s="185"/>
      <c r="CP160" s="2"/>
      <c r="CQ160" s="2"/>
      <c r="CR160" s="185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>
        <f t="shared" si="346"/>
      </c>
      <c r="DF160" s="2">
        <f t="shared" si="345"/>
      </c>
      <c r="DG160" s="129"/>
      <c r="DH160" s="2"/>
      <c r="DI160" s="2"/>
      <c r="DJ160" s="129"/>
      <c r="DK160" s="2"/>
      <c r="DL160" s="2"/>
      <c r="DM160" s="129"/>
      <c r="DN160" s="2">
        <f t="shared" si="347"/>
      </c>
      <c r="DO160" s="2">
        <f t="shared" si="348"/>
      </c>
      <c r="DP160" s="129">
        <f t="shared" si="349"/>
      </c>
      <c r="DQ160" s="2">
        <f t="shared" si="350"/>
      </c>
      <c r="DR160" s="2">
        <f t="shared" si="351"/>
      </c>
      <c r="DS160" s="129">
        <f t="shared" si="352"/>
      </c>
      <c r="DT160" s="2">
        <f t="shared" si="353"/>
      </c>
      <c r="DU160" s="2">
        <f t="shared" si="354"/>
      </c>
      <c r="DV160" s="129">
        <f t="shared" si="355"/>
      </c>
      <c r="DW160" s="2">
        <f t="shared" si="356"/>
      </c>
      <c r="DX160" s="2">
        <f t="shared" si="357"/>
      </c>
      <c r="DY160" s="129">
        <f t="shared" si="358"/>
      </c>
      <c r="DZ160" s="129"/>
      <c r="EA160" s="21"/>
      <c r="EB160" s="2"/>
      <c r="EC160" s="2"/>
      <c r="ED160" s="2"/>
      <c r="EE160" s="2"/>
      <c r="EF160" s="2"/>
      <c r="EG160" s="2"/>
      <c r="EH160" s="2"/>
      <c r="EI160" s="2"/>
      <c r="EJ160" s="10"/>
      <c r="EK160" s="2"/>
      <c r="EL160" s="2"/>
      <c r="EP160" s="215"/>
      <c r="EQ160" s="215"/>
      <c r="ER160" s="215"/>
      <c r="FC160" s="140"/>
      <c r="FD160" s="218"/>
      <c r="FE160" s="218"/>
      <c r="FF160" s="218"/>
      <c r="FG160" s="218"/>
      <c r="FH160" s="218"/>
      <c r="FI160" s="218"/>
      <c r="FJ160" s="218"/>
      <c r="FK160" s="328"/>
      <c r="FL160" s="328"/>
      <c r="FM160" s="328"/>
      <c r="FN160" s="328"/>
      <c r="FP160" s="328"/>
      <c r="FQ160" s="328"/>
      <c r="FR160" s="328"/>
      <c r="FS160" s="328"/>
      <c r="GF160" s="140"/>
      <c r="GG160" s="140"/>
      <c r="GH160" s="140"/>
      <c r="GJ160" s="218"/>
    </row>
    <row r="161" spans="2:192" s="137" customFormat="1" ht="16.5">
      <c r="B161" s="54"/>
      <c r="C161" s="54"/>
      <c r="D161" s="26"/>
      <c r="E161" s="26"/>
      <c r="F161" s="26"/>
      <c r="G161" s="54"/>
      <c r="H161" s="133"/>
      <c r="I161" s="133"/>
      <c r="J161" s="54"/>
      <c r="K161" s="118"/>
      <c r="L161" s="118"/>
      <c r="M161" s="118"/>
      <c r="N161" s="564"/>
      <c r="O161" s="564"/>
      <c r="P161" s="564"/>
      <c r="Q161" s="564"/>
      <c r="R161" s="135"/>
      <c r="S161" s="134"/>
      <c r="T161" s="134"/>
      <c r="U161" s="134"/>
      <c r="V161" s="139"/>
      <c r="W161" s="139"/>
      <c r="X161" s="139"/>
      <c r="Y161" s="139"/>
      <c r="AP161" s="140"/>
      <c r="AQ161" s="140"/>
      <c r="AZ161" s="27"/>
      <c r="BA161" s="27"/>
      <c r="BB161" s="27"/>
      <c r="BH161" s="141"/>
      <c r="BI161" s="141"/>
      <c r="BJ161" s="141"/>
      <c r="BK161" s="141"/>
      <c r="BL161" s="141"/>
      <c r="BM161" s="141"/>
      <c r="BN161" s="141"/>
      <c r="BO161" s="141"/>
      <c r="BP161" s="141"/>
      <c r="CK161" s="7"/>
      <c r="CL161" s="7"/>
      <c r="CM161" s="20"/>
      <c r="CN161" s="2"/>
      <c r="CO161" s="185"/>
      <c r="CP161" s="2"/>
      <c r="CQ161" s="2"/>
      <c r="CR161" s="185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>
        <f t="shared" si="346"/>
      </c>
      <c r="DF161" s="2">
        <f t="shared" si="345"/>
      </c>
      <c r="DG161" s="129"/>
      <c r="DH161" s="2"/>
      <c r="DI161" s="2"/>
      <c r="DJ161" s="129"/>
      <c r="DK161" s="2"/>
      <c r="DL161" s="2"/>
      <c r="DM161" s="129"/>
      <c r="DN161" s="2">
        <f t="shared" si="347"/>
      </c>
      <c r="DO161" s="2">
        <f t="shared" si="348"/>
      </c>
      <c r="DP161" s="129">
        <f t="shared" si="349"/>
      </c>
      <c r="DQ161" s="2">
        <f t="shared" si="350"/>
      </c>
      <c r="DR161" s="2">
        <f t="shared" si="351"/>
      </c>
      <c r="DS161" s="129">
        <f t="shared" si="352"/>
      </c>
      <c r="DT161" s="2">
        <f t="shared" si="353"/>
      </c>
      <c r="DU161" s="2">
        <f t="shared" si="354"/>
      </c>
      <c r="DV161" s="129">
        <f t="shared" si="355"/>
      </c>
      <c r="DW161" s="2">
        <f t="shared" si="356"/>
      </c>
      <c r="DX161" s="2">
        <f t="shared" si="357"/>
      </c>
      <c r="DY161" s="129">
        <f t="shared" si="358"/>
      </c>
      <c r="DZ161" s="129"/>
      <c r="EA161" s="21"/>
      <c r="EB161" s="2"/>
      <c r="EC161" s="2"/>
      <c r="ED161" s="2"/>
      <c r="EE161" s="2"/>
      <c r="EF161" s="2"/>
      <c r="EG161" s="2"/>
      <c r="EH161" s="2"/>
      <c r="EI161" s="2"/>
      <c r="EJ161" s="10"/>
      <c r="EK161" s="2"/>
      <c r="EL161" s="2"/>
      <c r="EP161" s="215"/>
      <c r="EQ161" s="215"/>
      <c r="ER161" s="215"/>
      <c r="FC161" s="140"/>
      <c r="FD161" s="218"/>
      <c r="FE161" s="218"/>
      <c r="FF161" s="218"/>
      <c r="FG161" s="218"/>
      <c r="FH161" s="218"/>
      <c r="FI161" s="218"/>
      <c r="FJ161" s="218"/>
      <c r="FK161" s="328"/>
      <c r="FL161" s="328"/>
      <c r="FM161" s="328"/>
      <c r="FN161" s="328"/>
      <c r="FP161" s="328"/>
      <c r="FQ161" s="328"/>
      <c r="FR161" s="328"/>
      <c r="FS161" s="328"/>
      <c r="GF161" s="140"/>
      <c r="GG161" s="140"/>
      <c r="GH161" s="140"/>
      <c r="GJ161" s="218"/>
    </row>
    <row r="162" spans="2:192" s="137" customFormat="1" ht="16.5">
      <c r="B162" s="54"/>
      <c r="C162" s="54"/>
      <c r="D162" s="26"/>
      <c r="E162" s="26"/>
      <c r="F162" s="26"/>
      <c r="G162" s="54"/>
      <c r="H162" s="133"/>
      <c r="I162" s="133"/>
      <c r="J162" s="54"/>
      <c r="K162" s="118"/>
      <c r="L162" s="118"/>
      <c r="M162" s="118"/>
      <c r="N162" s="564"/>
      <c r="O162" s="564"/>
      <c r="P162" s="564"/>
      <c r="Q162" s="564"/>
      <c r="R162" s="135"/>
      <c r="S162" s="134"/>
      <c r="T162" s="134"/>
      <c r="U162" s="134"/>
      <c r="V162" s="139"/>
      <c r="W162" s="139"/>
      <c r="X162" s="139"/>
      <c r="Y162" s="139"/>
      <c r="AP162" s="140"/>
      <c r="AQ162" s="140"/>
      <c r="AZ162" s="27"/>
      <c r="BA162" s="27"/>
      <c r="BB162" s="27"/>
      <c r="BH162" s="141"/>
      <c r="BI162" s="141"/>
      <c r="BJ162" s="141"/>
      <c r="BK162" s="141"/>
      <c r="BL162" s="141"/>
      <c r="BM162" s="141"/>
      <c r="BN162" s="141"/>
      <c r="BO162" s="141"/>
      <c r="BP162" s="141"/>
      <c r="CK162" s="7"/>
      <c r="CL162" s="7"/>
      <c r="CM162" s="20"/>
      <c r="CN162" s="2"/>
      <c r="CO162" s="185"/>
      <c r="CP162" s="2"/>
      <c r="CQ162" s="2"/>
      <c r="CR162" s="185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>
        <f t="shared" si="346"/>
      </c>
      <c r="DF162" s="2">
        <f t="shared" si="345"/>
      </c>
      <c r="DG162" s="129"/>
      <c r="DH162" s="2"/>
      <c r="DI162" s="2"/>
      <c r="DJ162" s="129"/>
      <c r="DK162" s="2"/>
      <c r="DL162" s="2"/>
      <c r="DM162" s="129"/>
      <c r="DN162" s="2">
        <f t="shared" si="347"/>
      </c>
      <c r="DO162" s="2">
        <f t="shared" si="348"/>
      </c>
      <c r="DP162" s="129">
        <f t="shared" si="349"/>
      </c>
      <c r="DQ162" s="2">
        <f t="shared" si="350"/>
      </c>
      <c r="DR162" s="2">
        <f t="shared" si="351"/>
      </c>
      <c r="DS162" s="129">
        <f t="shared" si="352"/>
      </c>
      <c r="DT162" s="2">
        <f t="shared" si="353"/>
      </c>
      <c r="DU162" s="2">
        <f t="shared" si="354"/>
      </c>
      <c r="DV162" s="129">
        <f t="shared" si="355"/>
      </c>
      <c r="DW162" s="2">
        <f t="shared" si="356"/>
      </c>
      <c r="DX162" s="2">
        <f t="shared" si="357"/>
      </c>
      <c r="DY162" s="129">
        <f t="shared" si="358"/>
      </c>
      <c r="DZ162" s="129"/>
      <c r="EA162" s="21"/>
      <c r="EB162" s="2"/>
      <c r="EC162" s="2"/>
      <c r="ED162" s="2"/>
      <c r="EE162" s="2"/>
      <c r="EF162" s="2"/>
      <c r="EG162" s="2"/>
      <c r="EH162" s="2"/>
      <c r="EI162" s="2"/>
      <c r="EJ162" s="10"/>
      <c r="EK162" s="2"/>
      <c r="EL162" s="2"/>
      <c r="EP162" s="215"/>
      <c r="EQ162" s="215"/>
      <c r="ER162" s="215"/>
      <c r="FC162" s="140"/>
      <c r="FD162" s="218"/>
      <c r="FE162" s="218"/>
      <c r="FF162" s="218"/>
      <c r="FG162" s="218"/>
      <c r="FH162" s="218"/>
      <c r="FI162" s="218"/>
      <c r="FJ162" s="218"/>
      <c r="FK162" s="328"/>
      <c r="FL162" s="328"/>
      <c r="FM162" s="328"/>
      <c r="FN162" s="328"/>
      <c r="FP162" s="328"/>
      <c r="FQ162" s="328"/>
      <c r="FR162" s="328"/>
      <c r="FS162" s="328"/>
      <c r="GF162" s="140"/>
      <c r="GG162" s="140"/>
      <c r="GH162" s="140"/>
      <c r="GJ162" s="218"/>
    </row>
    <row r="163" spans="2:192" s="137" customFormat="1" ht="16.5">
      <c r="B163" s="54"/>
      <c r="C163" s="54"/>
      <c r="D163" s="26"/>
      <c r="E163" s="26"/>
      <c r="F163" s="26"/>
      <c r="G163" s="54"/>
      <c r="H163" s="133"/>
      <c r="I163" s="133"/>
      <c r="J163" s="54"/>
      <c r="K163" s="118"/>
      <c r="L163" s="118"/>
      <c r="M163" s="118"/>
      <c r="N163" s="564"/>
      <c r="O163" s="564"/>
      <c r="P163" s="564"/>
      <c r="Q163" s="564"/>
      <c r="R163" s="135"/>
      <c r="S163" s="134"/>
      <c r="T163" s="134"/>
      <c r="U163" s="134"/>
      <c r="V163" s="139"/>
      <c r="W163" s="139"/>
      <c r="X163" s="139"/>
      <c r="Y163" s="139"/>
      <c r="AP163" s="140"/>
      <c r="AQ163" s="140"/>
      <c r="AZ163" s="27"/>
      <c r="BA163" s="27"/>
      <c r="BB163" s="27"/>
      <c r="BH163" s="141"/>
      <c r="BI163" s="141"/>
      <c r="BJ163" s="141"/>
      <c r="BK163" s="141"/>
      <c r="BL163" s="141"/>
      <c r="BM163" s="141"/>
      <c r="BN163" s="141"/>
      <c r="BO163" s="141"/>
      <c r="BP163" s="141"/>
      <c r="CK163" s="7"/>
      <c r="CL163" s="7"/>
      <c r="CM163" s="20"/>
      <c r="CN163" s="2"/>
      <c r="CO163" s="185"/>
      <c r="CP163" s="2"/>
      <c r="CQ163" s="2"/>
      <c r="CR163" s="185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>
        <f t="shared" si="346"/>
      </c>
      <c r="DF163" s="2">
        <f t="shared" si="345"/>
      </c>
      <c r="DG163" s="129"/>
      <c r="DH163" s="2"/>
      <c r="DI163" s="2"/>
      <c r="DJ163" s="129"/>
      <c r="DK163" s="2"/>
      <c r="DL163" s="2"/>
      <c r="DM163" s="129"/>
      <c r="DN163" s="2">
        <f t="shared" si="347"/>
      </c>
      <c r="DO163" s="2">
        <f t="shared" si="348"/>
      </c>
      <c r="DP163" s="129">
        <f t="shared" si="349"/>
      </c>
      <c r="DQ163" s="2">
        <f t="shared" si="350"/>
      </c>
      <c r="DR163" s="2">
        <f t="shared" si="351"/>
      </c>
      <c r="DS163" s="129">
        <f t="shared" si="352"/>
      </c>
      <c r="DT163" s="2">
        <f t="shared" si="353"/>
      </c>
      <c r="DU163" s="2">
        <f t="shared" si="354"/>
      </c>
      <c r="DV163" s="129">
        <f t="shared" si="355"/>
      </c>
      <c r="DW163" s="2">
        <f t="shared" si="356"/>
      </c>
      <c r="DX163" s="2">
        <f t="shared" si="357"/>
      </c>
      <c r="DY163" s="129">
        <f t="shared" si="358"/>
      </c>
      <c r="DZ163" s="129"/>
      <c r="EA163" s="21"/>
      <c r="EB163" s="2"/>
      <c r="EC163" s="2"/>
      <c r="ED163" s="2"/>
      <c r="EE163" s="2"/>
      <c r="EF163" s="2"/>
      <c r="EG163" s="2"/>
      <c r="EH163" s="2"/>
      <c r="EI163" s="2"/>
      <c r="EJ163" s="10"/>
      <c r="EK163" s="2"/>
      <c r="EL163" s="2"/>
      <c r="EP163" s="215"/>
      <c r="EQ163" s="215"/>
      <c r="ER163" s="215"/>
      <c r="FC163" s="140"/>
      <c r="FD163" s="218"/>
      <c r="FE163" s="218"/>
      <c r="FF163" s="218"/>
      <c r="FG163" s="218"/>
      <c r="FH163" s="218"/>
      <c r="FI163" s="218"/>
      <c r="FJ163" s="218"/>
      <c r="FK163" s="328"/>
      <c r="FL163" s="328"/>
      <c r="FM163" s="328"/>
      <c r="FN163" s="328"/>
      <c r="FP163" s="328"/>
      <c r="FQ163" s="328"/>
      <c r="FR163" s="328"/>
      <c r="FS163" s="328"/>
      <c r="GF163" s="140"/>
      <c r="GG163" s="140"/>
      <c r="GH163" s="140"/>
      <c r="GJ163" s="218"/>
    </row>
    <row r="164" spans="2:192" s="137" customFormat="1" ht="16.5">
      <c r="B164" s="54"/>
      <c r="C164" s="54"/>
      <c r="D164" s="26"/>
      <c r="E164" s="26"/>
      <c r="F164" s="26"/>
      <c r="G164" s="54"/>
      <c r="H164" s="133"/>
      <c r="I164" s="133"/>
      <c r="J164" s="54"/>
      <c r="K164" s="118"/>
      <c r="L164" s="118"/>
      <c r="M164" s="118"/>
      <c r="N164" s="564"/>
      <c r="O164" s="564"/>
      <c r="P164" s="564"/>
      <c r="Q164" s="564"/>
      <c r="R164" s="135"/>
      <c r="S164" s="134"/>
      <c r="T164" s="134"/>
      <c r="U164" s="134"/>
      <c r="V164" s="139"/>
      <c r="W164" s="139"/>
      <c r="X164" s="139"/>
      <c r="Y164" s="139"/>
      <c r="AP164" s="140"/>
      <c r="AQ164" s="140"/>
      <c r="AZ164" s="27"/>
      <c r="BA164" s="27"/>
      <c r="BB164" s="27"/>
      <c r="BH164" s="141"/>
      <c r="BI164" s="141"/>
      <c r="BJ164" s="141"/>
      <c r="BK164" s="141"/>
      <c r="BL164" s="141"/>
      <c r="BM164" s="141"/>
      <c r="BN164" s="141"/>
      <c r="BO164" s="141"/>
      <c r="BP164" s="141"/>
      <c r="CK164" s="7"/>
      <c r="CL164" s="7"/>
      <c r="CM164" s="20"/>
      <c r="CN164" s="2"/>
      <c r="CO164" s="185"/>
      <c r="CP164" s="2"/>
      <c r="CQ164" s="2"/>
      <c r="CR164" s="185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>
        <f t="shared" si="346"/>
      </c>
      <c r="DF164" s="2">
        <f t="shared" si="345"/>
      </c>
      <c r="DG164" s="129"/>
      <c r="DH164" s="2"/>
      <c r="DI164" s="2"/>
      <c r="DJ164" s="129"/>
      <c r="DK164" s="2"/>
      <c r="DL164" s="2"/>
      <c r="DM164" s="129"/>
      <c r="DN164" s="2">
        <f t="shared" si="347"/>
      </c>
      <c r="DO164" s="2">
        <f t="shared" si="348"/>
      </c>
      <c r="DP164" s="129">
        <f t="shared" si="349"/>
      </c>
      <c r="DQ164" s="2">
        <f t="shared" si="350"/>
      </c>
      <c r="DR164" s="2">
        <f t="shared" si="351"/>
      </c>
      <c r="DS164" s="129">
        <f t="shared" si="352"/>
      </c>
      <c r="DT164" s="2">
        <f t="shared" si="353"/>
      </c>
      <c r="DU164" s="2">
        <f t="shared" si="354"/>
      </c>
      <c r="DV164" s="129">
        <f t="shared" si="355"/>
      </c>
      <c r="DW164" s="2">
        <f t="shared" si="356"/>
      </c>
      <c r="DX164" s="2">
        <f t="shared" si="357"/>
      </c>
      <c r="DY164" s="129">
        <f t="shared" si="358"/>
      </c>
      <c r="DZ164" s="129"/>
      <c r="EA164" s="21"/>
      <c r="EB164" s="2"/>
      <c r="EC164" s="2"/>
      <c r="ED164" s="2"/>
      <c r="EE164" s="2"/>
      <c r="EF164" s="2"/>
      <c r="EG164" s="2"/>
      <c r="EH164" s="2"/>
      <c r="EI164" s="2"/>
      <c r="EJ164" s="10"/>
      <c r="EK164" s="2"/>
      <c r="EL164" s="2"/>
      <c r="EP164" s="215"/>
      <c r="EQ164" s="215"/>
      <c r="ER164" s="215"/>
      <c r="FC164" s="140"/>
      <c r="FD164" s="218"/>
      <c r="FE164" s="218"/>
      <c r="FF164" s="218"/>
      <c r="FG164" s="218"/>
      <c r="FH164" s="218"/>
      <c r="FI164" s="218"/>
      <c r="FJ164" s="218"/>
      <c r="FK164" s="328"/>
      <c r="FL164" s="328"/>
      <c r="FM164" s="328"/>
      <c r="FN164" s="328"/>
      <c r="FP164" s="328"/>
      <c r="FQ164" s="328"/>
      <c r="FR164" s="328"/>
      <c r="FS164" s="328"/>
      <c r="GF164" s="140"/>
      <c r="GG164" s="140"/>
      <c r="GH164" s="140"/>
      <c r="GJ164" s="218"/>
    </row>
    <row r="165" spans="2:192" s="137" customFormat="1" ht="16.5">
      <c r="B165" s="54"/>
      <c r="C165" s="54"/>
      <c r="D165" s="26"/>
      <c r="E165" s="26"/>
      <c r="F165" s="26"/>
      <c r="G165" s="54"/>
      <c r="H165" s="133"/>
      <c r="I165" s="133"/>
      <c r="J165" s="54"/>
      <c r="K165" s="118"/>
      <c r="L165" s="118"/>
      <c r="M165" s="118"/>
      <c r="N165" s="564"/>
      <c r="O165" s="564"/>
      <c r="P165" s="564"/>
      <c r="Q165" s="564"/>
      <c r="R165" s="135"/>
      <c r="S165" s="134"/>
      <c r="T165" s="134"/>
      <c r="U165" s="134"/>
      <c r="V165" s="139"/>
      <c r="W165" s="139"/>
      <c r="X165" s="139"/>
      <c r="Y165" s="139"/>
      <c r="AP165" s="140"/>
      <c r="AQ165" s="140"/>
      <c r="AZ165" s="27"/>
      <c r="BA165" s="27"/>
      <c r="BB165" s="27"/>
      <c r="BH165" s="141"/>
      <c r="BI165" s="141"/>
      <c r="BJ165" s="141"/>
      <c r="BK165" s="141"/>
      <c r="BL165" s="141"/>
      <c r="BM165" s="141"/>
      <c r="BN165" s="141"/>
      <c r="BO165" s="141"/>
      <c r="BP165" s="141"/>
      <c r="CK165" s="7"/>
      <c r="CL165" s="7"/>
      <c r="CM165" s="20"/>
      <c r="CN165" s="2"/>
      <c r="CO165" s="185"/>
      <c r="CP165" s="2"/>
      <c r="CQ165" s="2"/>
      <c r="CR165" s="185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>
        <f t="shared" si="346"/>
      </c>
      <c r="DF165" s="2">
        <f t="shared" si="345"/>
      </c>
      <c r="DG165" s="129"/>
      <c r="DH165" s="2"/>
      <c r="DI165" s="2"/>
      <c r="DJ165" s="129"/>
      <c r="DK165" s="2"/>
      <c r="DL165" s="2"/>
      <c r="DM165" s="129"/>
      <c r="DN165" s="2">
        <f t="shared" si="347"/>
      </c>
      <c r="DO165" s="2">
        <f t="shared" si="348"/>
      </c>
      <c r="DP165" s="129">
        <f t="shared" si="349"/>
      </c>
      <c r="DQ165" s="2">
        <f t="shared" si="350"/>
      </c>
      <c r="DR165" s="2">
        <f t="shared" si="351"/>
      </c>
      <c r="DS165" s="129">
        <f t="shared" si="352"/>
      </c>
      <c r="DT165" s="2">
        <f t="shared" si="353"/>
      </c>
      <c r="DU165" s="2">
        <f t="shared" si="354"/>
      </c>
      <c r="DV165" s="129">
        <f t="shared" si="355"/>
      </c>
      <c r="DW165" s="2">
        <f t="shared" si="356"/>
      </c>
      <c r="DX165" s="2">
        <f t="shared" si="357"/>
      </c>
      <c r="DY165" s="129">
        <f t="shared" si="358"/>
      </c>
      <c r="DZ165" s="129"/>
      <c r="EA165" s="21"/>
      <c r="EB165" s="2"/>
      <c r="EC165" s="2"/>
      <c r="ED165" s="2"/>
      <c r="EE165" s="2"/>
      <c r="EF165" s="2"/>
      <c r="EG165" s="2"/>
      <c r="EH165" s="2"/>
      <c r="EI165" s="2"/>
      <c r="EJ165" s="10"/>
      <c r="EK165" s="2"/>
      <c r="EL165" s="2"/>
      <c r="EP165" s="215"/>
      <c r="EQ165" s="215"/>
      <c r="ER165" s="215"/>
      <c r="FC165" s="140"/>
      <c r="FD165" s="218"/>
      <c r="FE165" s="218"/>
      <c r="FF165" s="218"/>
      <c r="FG165" s="218"/>
      <c r="FH165" s="218"/>
      <c r="FI165" s="218"/>
      <c r="FJ165" s="218"/>
      <c r="FK165" s="328"/>
      <c r="FL165" s="328"/>
      <c r="FM165" s="328"/>
      <c r="FN165" s="328"/>
      <c r="FP165" s="328"/>
      <c r="FQ165" s="328"/>
      <c r="FR165" s="328"/>
      <c r="FS165" s="328"/>
      <c r="GF165" s="140"/>
      <c r="GG165" s="140"/>
      <c r="GH165" s="140"/>
      <c r="GJ165" s="218"/>
    </row>
    <row r="166" spans="2:192" s="137" customFormat="1" ht="16.5">
      <c r="B166" s="54"/>
      <c r="C166" s="54"/>
      <c r="D166" s="26"/>
      <c r="E166" s="26"/>
      <c r="F166" s="26"/>
      <c r="G166" s="54"/>
      <c r="H166" s="133"/>
      <c r="I166" s="133"/>
      <c r="J166" s="54"/>
      <c r="K166" s="118"/>
      <c r="L166" s="118"/>
      <c r="M166" s="118"/>
      <c r="N166" s="564"/>
      <c r="O166" s="564"/>
      <c r="P166" s="564"/>
      <c r="Q166" s="564"/>
      <c r="R166" s="135"/>
      <c r="S166" s="134"/>
      <c r="T166" s="134"/>
      <c r="U166" s="134"/>
      <c r="V166" s="139"/>
      <c r="W166" s="139"/>
      <c r="X166" s="139"/>
      <c r="Y166" s="139"/>
      <c r="AP166" s="140"/>
      <c r="AQ166" s="140"/>
      <c r="AZ166" s="27"/>
      <c r="BA166" s="27"/>
      <c r="BB166" s="27"/>
      <c r="BH166" s="141"/>
      <c r="BI166" s="141"/>
      <c r="BJ166" s="141"/>
      <c r="BK166" s="141"/>
      <c r="BL166" s="141"/>
      <c r="BM166" s="141"/>
      <c r="BN166" s="141"/>
      <c r="BO166" s="141"/>
      <c r="BP166" s="141"/>
      <c r="CK166" s="7"/>
      <c r="CL166" s="7"/>
      <c r="CM166" s="20"/>
      <c r="CN166" s="2"/>
      <c r="CO166" s="185"/>
      <c r="CP166" s="2"/>
      <c r="CQ166" s="2"/>
      <c r="CR166" s="185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>
        <f t="shared" si="346"/>
      </c>
      <c r="DF166" s="2">
        <f t="shared" si="345"/>
      </c>
      <c r="DG166" s="129"/>
      <c r="DH166" s="2"/>
      <c r="DI166" s="2"/>
      <c r="DJ166" s="129"/>
      <c r="DK166" s="2"/>
      <c r="DL166" s="2"/>
      <c r="DM166" s="129"/>
      <c r="DN166" s="2">
        <f t="shared" si="347"/>
      </c>
      <c r="DO166" s="2">
        <f t="shared" si="348"/>
      </c>
      <c r="DP166" s="129">
        <f t="shared" si="349"/>
      </c>
      <c r="DQ166" s="2">
        <f t="shared" si="350"/>
      </c>
      <c r="DR166" s="2">
        <f t="shared" si="351"/>
      </c>
      <c r="DS166" s="129">
        <f t="shared" si="352"/>
      </c>
      <c r="DT166" s="2">
        <f t="shared" si="353"/>
      </c>
      <c r="DU166" s="2">
        <f t="shared" si="354"/>
      </c>
      <c r="DV166" s="129">
        <f t="shared" si="355"/>
      </c>
      <c r="DW166" s="2">
        <f t="shared" si="356"/>
      </c>
      <c r="DX166" s="2">
        <f t="shared" si="357"/>
      </c>
      <c r="DY166" s="129">
        <f t="shared" si="358"/>
      </c>
      <c r="DZ166" s="129"/>
      <c r="EA166" s="21"/>
      <c r="EB166" s="2"/>
      <c r="EC166" s="2"/>
      <c r="ED166" s="2"/>
      <c r="EE166" s="2"/>
      <c r="EF166" s="2"/>
      <c r="EG166" s="2"/>
      <c r="EH166" s="2"/>
      <c r="EI166" s="2"/>
      <c r="EJ166" s="10"/>
      <c r="EK166" s="2"/>
      <c r="EL166" s="2"/>
      <c r="EP166" s="215"/>
      <c r="EQ166" s="215"/>
      <c r="ER166" s="215"/>
      <c r="FC166" s="140"/>
      <c r="FD166" s="218"/>
      <c r="FE166" s="218"/>
      <c r="FF166" s="218"/>
      <c r="FG166" s="218"/>
      <c r="FH166" s="218"/>
      <c r="FI166" s="218"/>
      <c r="FJ166" s="218"/>
      <c r="FK166" s="328"/>
      <c r="FL166" s="328"/>
      <c r="FM166" s="328"/>
      <c r="FN166" s="328"/>
      <c r="FP166" s="328"/>
      <c r="FQ166" s="328"/>
      <c r="FR166" s="328"/>
      <c r="FS166" s="328"/>
      <c r="GF166" s="140"/>
      <c r="GG166" s="140"/>
      <c r="GH166" s="140"/>
      <c r="GJ166" s="218"/>
    </row>
    <row r="167" spans="2:192" s="137" customFormat="1" ht="16.5">
      <c r="B167" s="54"/>
      <c r="C167" s="54"/>
      <c r="D167" s="26"/>
      <c r="E167" s="26"/>
      <c r="F167" s="26"/>
      <c r="G167" s="54"/>
      <c r="H167" s="133"/>
      <c r="I167" s="133"/>
      <c r="J167" s="54"/>
      <c r="K167" s="118"/>
      <c r="L167" s="118"/>
      <c r="M167" s="118"/>
      <c r="N167" s="564"/>
      <c r="O167" s="564"/>
      <c r="P167" s="564"/>
      <c r="Q167" s="564"/>
      <c r="R167" s="135"/>
      <c r="S167" s="134"/>
      <c r="T167" s="134"/>
      <c r="U167" s="134"/>
      <c r="V167" s="139"/>
      <c r="W167" s="139"/>
      <c r="X167" s="139"/>
      <c r="Y167" s="139"/>
      <c r="AP167" s="140"/>
      <c r="AQ167" s="140"/>
      <c r="AZ167" s="27"/>
      <c r="BA167" s="27"/>
      <c r="BB167" s="27"/>
      <c r="BH167" s="141"/>
      <c r="BI167" s="141"/>
      <c r="BJ167" s="141"/>
      <c r="BK167" s="141"/>
      <c r="BL167" s="141"/>
      <c r="BM167" s="141"/>
      <c r="BN167" s="141"/>
      <c r="BO167" s="141"/>
      <c r="BP167" s="141"/>
      <c r="CK167" s="7"/>
      <c r="CL167" s="7"/>
      <c r="CM167" s="20"/>
      <c r="CN167" s="2"/>
      <c r="CO167" s="185"/>
      <c r="CP167" s="2"/>
      <c r="CQ167" s="2"/>
      <c r="CR167" s="185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>
        <f t="shared" si="346"/>
      </c>
      <c r="DF167" s="2">
        <f t="shared" si="345"/>
      </c>
      <c r="DG167" s="129"/>
      <c r="DH167" s="2"/>
      <c r="DI167" s="2"/>
      <c r="DJ167" s="129"/>
      <c r="DK167" s="2"/>
      <c r="DL167" s="2"/>
      <c r="DM167" s="129"/>
      <c r="DN167" s="2">
        <f t="shared" si="347"/>
      </c>
      <c r="DO167" s="2">
        <f t="shared" si="348"/>
      </c>
      <c r="DP167" s="129">
        <f t="shared" si="349"/>
      </c>
      <c r="DQ167" s="2">
        <f t="shared" si="350"/>
      </c>
      <c r="DR167" s="2">
        <f t="shared" si="351"/>
      </c>
      <c r="DS167" s="129">
        <f t="shared" si="352"/>
      </c>
      <c r="DT167" s="2">
        <f t="shared" si="353"/>
      </c>
      <c r="DU167" s="2">
        <f t="shared" si="354"/>
      </c>
      <c r="DV167" s="129">
        <f t="shared" si="355"/>
      </c>
      <c r="DW167" s="2">
        <f t="shared" si="356"/>
      </c>
      <c r="DX167" s="2">
        <f t="shared" si="357"/>
      </c>
      <c r="DY167" s="129">
        <f t="shared" si="358"/>
      </c>
      <c r="DZ167" s="129"/>
      <c r="EA167" s="21"/>
      <c r="EB167" s="2"/>
      <c r="EC167" s="2"/>
      <c r="ED167" s="2"/>
      <c r="EE167" s="2"/>
      <c r="EF167" s="2"/>
      <c r="EG167" s="2"/>
      <c r="EH167" s="2"/>
      <c r="EI167" s="2"/>
      <c r="EJ167" s="10"/>
      <c r="EK167" s="2"/>
      <c r="EL167" s="2"/>
      <c r="EP167" s="215"/>
      <c r="EQ167" s="215"/>
      <c r="ER167" s="215"/>
      <c r="FC167" s="140"/>
      <c r="FD167" s="218"/>
      <c r="FE167" s="218"/>
      <c r="FF167" s="218"/>
      <c r="FG167" s="218"/>
      <c r="FH167" s="218"/>
      <c r="FI167" s="218"/>
      <c r="FJ167" s="218"/>
      <c r="FK167" s="328"/>
      <c r="FL167" s="328"/>
      <c r="FM167" s="328"/>
      <c r="FN167" s="328"/>
      <c r="FP167" s="328"/>
      <c r="FQ167" s="328"/>
      <c r="FR167" s="328"/>
      <c r="FS167" s="328"/>
      <c r="GF167" s="140"/>
      <c r="GG167" s="140"/>
      <c r="GH167" s="140"/>
      <c r="GJ167" s="218"/>
    </row>
    <row r="168" spans="2:192" s="137" customFormat="1" ht="16.5">
      <c r="B168" s="54"/>
      <c r="C168" s="54"/>
      <c r="D168" s="26"/>
      <c r="E168" s="26"/>
      <c r="F168" s="26"/>
      <c r="G168" s="54"/>
      <c r="H168" s="133"/>
      <c r="I168" s="133"/>
      <c r="J168" s="54"/>
      <c r="K168" s="118"/>
      <c r="L168" s="118"/>
      <c r="M168" s="118"/>
      <c r="N168" s="564"/>
      <c r="O168" s="564"/>
      <c r="P168" s="564"/>
      <c r="Q168" s="564"/>
      <c r="R168" s="135"/>
      <c r="S168" s="134"/>
      <c r="T168" s="134"/>
      <c r="U168" s="134"/>
      <c r="V168" s="139"/>
      <c r="W168" s="139"/>
      <c r="X168" s="139"/>
      <c r="Y168" s="139"/>
      <c r="AP168" s="140"/>
      <c r="AQ168" s="140"/>
      <c r="AZ168" s="27"/>
      <c r="BA168" s="27"/>
      <c r="BB168" s="27"/>
      <c r="BH168" s="141"/>
      <c r="BI168" s="141"/>
      <c r="BJ168" s="141"/>
      <c r="BK168" s="141"/>
      <c r="BL168" s="141"/>
      <c r="BM168" s="141"/>
      <c r="BN168" s="141"/>
      <c r="BO168" s="141"/>
      <c r="BP168" s="141"/>
      <c r="CK168" s="7"/>
      <c r="CL168" s="7"/>
      <c r="CM168" s="20"/>
      <c r="CN168" s="2"/>
      <c r="CO168" s="185"/>
      <c r="CP168" s="2"/>
      <c r="CQ168" s="2"/>
      <c r="CR168" s="185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>
        <f t="shared" si="346"/>
      </c>
      <c r="DF168" s="2">
        <f t="shared" si="345"/>
      </c>
      <c r="DG168" s="129"/>
      <c r="DH168" s="2"/>
      <c r="DI168" s="2"/>
      <c r="DJ168" s="129"/>
      <c r="DK168" s="2"/>
      <c r="DL168" s="2"/>
      <c r="DM168" s="129"/>
      <c r="DN168" s="2">
        <f t="shared" si="347"/>
      </c>
      <c r="DO168" s="2">
        <f t="shared" si="348"/>
      </c>
      <c r="DP168" s="129">
        <f t="shared" si="349"/>
      </c>
      <c r="DQ168" s="2">
        <f t="shared" si="350"/>
      </c>
      <c r="DR168" s="2">
        <f t="shared" si="351"/>
      </c>
      <c r="DS168" s="129">
        <f t="shared" si="352"/>
      </c>
      <c r="DT168" s="2">
        <f t="shared" si="353"/>
      </c>
      <c r="DU168" s="2">
        <f t="shared" si="354"/>
      </c>
      <c r="DV168" s="129">
        <f t="shared" si="355"/>
      </c>
      <c r="DW168" s="2">
        <f t="shared" si="356"/>
      </c>
      <c r="DX168" s="2">
        <f t="shared" si="357"/>
      </c>
      <c r="DY168" s="129">
        <f t="shared" si="358"/>
      </c>
      <c r="DZ168" s="129"/>
      <c r="EA168" s="21"/>
      <c r="EB168" s="2"/>
      <c r="EC168" s="2"/>
      <c r="ED168" s="2"/>
      <c r="EE168" s="2"/>
      <c r="EF168" s="2"/>
      <c r="EG168" s="2"/>
      <c r="EH168" s="2"/>
      <c r="EI168" s="2"/>
      <c r="EJ168" s="10"/>
      <c r="EK168" s="2"/>
      <c r="EL168" s="2"/>
      <c r="EP168" s="215"/>
      <c r="EQ168" s="215"/>
      <c r="ER168" s="215"/>
      <c r="FC168" s="140"/>
      <c r="FD168" s="218"/>
      <c r="FE168" s="218"/>
      <c r="FF168" s="218"/>
      <c r="FG168" s="218"/>
      <c r="FH168" s="218"/>
      <c r="FI168" s="218"/>
      <c r="FJ168" s="218"/>
      <c r="FK168" s="328"/>
      <c r="FL168" s="328"/>
      <c r="FM168" s="328"/>
      <c r="FN168" s="328"/>
      <c r="FP168" s="328"/>
      <c r="FQ168" s="328"/>
      <c r="FR168" s="328"/>
      <c r="FS168" s="328"/>
      <c r="GF168" s="140"/>
      <c r="GG168" s="140"/>
      <c r="GH168" s="140"/>
      <c r="GJ168" s="218"/>
    </row>
    <row r="169" spans="2:192" s="137" customFormat="1" ht="16.5">
      <c r="B169" s="54"/>
      <c r="C169" s="54"/>
      <c r="D169" s="26"/>
      <c r="E169" s="26"/>
      <c r="F169" s="26"/>
      <c r="G169" s="54"/>
      <c r="H169" s="133"/>
      <c r="I169" s="133"/>
      <c r="J169" s="54"/>
      <c r="K169" s="118"/>
      <c r="L169" s="118"/>
      <c r="M169" s="118"/>
      <c r="N169" s="564"/>
      <c r="O169" s="564"/>
      <c r="P169" s="564"/>
      <c r="Q169" s="564"/>
      <c r="R169" s="135"/>
      <c r="S169" s="134"/>
      <c r="T169" s="134"/>
      <c r="U169" s="134"/>
      <c r="V169" s="139"/>
      <c r="W169" s="139"/>
      <c r="X169" s="139"/>
      <c r="Y169" s="139"/>
      <c r="AP169" s="140"/>
      <c r="AQ169" s="140"/>
      <c r="AZ169" s="27"/>
      <c r="BA169" s="27"/>
      <c r="BB169" s="27"/>
      <c r="BH169" s="141"/>
      <c r="BI169" s="141"/>
      <c r="BJ169" s="141"/>
      <c r="BK169" s="141"/>
      <c r="BL169" s="141"/>
      <c r="BM169" s="141"/>
      <c r="BN169" s="141"/>
      <c r="BO169" s="141"/>
      <c r="BP169" s="141"/>
      <c r="CK169" s="7"/>
      <c r="CL169" s="7"/>
      <c r="CM169" s="20"/>
      <c r="CN169" s="2"/>
      <c r="CO169" s="185"/>
      <c r="CP169" s="2"/>
      <c r="CQ169" s="2"/>
      <c r="CR169" s="185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>
        <f t="shared" si="346"/>
      </c>
      <c r="DF169" s="2">
        <f t="shared" si="345"/>
      </c>
      <c r="DG169" s="129"/>
      <c r="DH169" s="2"/>
      <c r="DI169" s="2"/>
      <c r="DJ169" s="129"/>
      <c r="DK169" s="2"/>
      <c r="DL169" s="2"/>
      <c r="DM169" s="129"/>
      <c r="DN169" s="2">
        <f t="shared" si="347"/>
      </c>
      <c r="DO169" s="2">
        <f t="shared" si="348"/>
      </c>
      <c r="DP169" s="129">
        <f t="shared" si="349"/>
      </c>
      <c r="DQ169" s="2">
        <f t="shared" si="350"/>
      </c>
      <c r="DR169" s="2">
        <f t="shared" si="351"/>
      </c>
      <c r="DS169" s="129">
        <f t="shared" si="352"/>
      </c>
      <c r="DT169" s="2">
        <f t="shared" si="353"/>
      </c>
      <c r="DU169" s="2">
        <f t="shared" si="354"/>
      </c>
      <c r="DV169" s="129">
        <f t="shared" si="355"/>
      </c>
      <c r="DW169" s="2">
        <f t="shared" si="356"/>
      </c>
      <c r="DX169" s="2">
        <f t="shared" si="357"/>
      </c>
      <c r="DY169" s="129">
        <f t="shared" si="358"/>
      </c>
      <c r="DZ169" s="129"/>
      <c r="EA169" s="21"/>
      <c r="EB169" s="2"/>
      <c r="EC169" s="2"/>
      <c r="ED169" s="2"/>
      <c r="EE169" s="2"/>
      <c r="EF169" s="2"/>
      <c r="EG169" s="2"/>
      <c r="EH169" s="2"/>
      <c r="EI169" s="2"/>
      <c r="EJ169" s="10"/>
      <c r="EK169" s="2"/>
      <c r="EL169" s="2"/>
      <c r="EP169" s="215"/>
      <c r="EQ169" s="215"/>
      <c r="ER169" s="215"/>
      <c r="FC169" s="140"/>
      <c r="FD169" s="218"/>
      <c r="FE169" s="218"/>
      <c r="FF169" s="218"/>
      <c r="FG169" s="218"/>
      <c r="FH169" s="218"/>
      <c r="FI169" s="218"/>
      <c r="FJ169" s="218"/>
      <c r="FK169" s="328"/>
      <c r="FL169" s="328"/>
      <c r="FM169" s="328"/>
      <c r="FN169" s="328"/>
      <c r="FP169" s="328"/>
      <c r="FQ169" s="328"/>
      <c r="FR169" s="328"/>
      <c r="FS169" s="328"/>
      <c r="GF169" s="140"/>
      <c r="GG169" s="140"/>
      <c r="GH169" s="140"/>
      <c r="GJ169" s="218"/>
    </row>
    <row r="170" spans="2:192" s="137" customFormat="1" ht="16.5">
      <c r="B170" s="54"/>
      <c r="C170" s="54"/>
      <c r="D170" s="26"/>
      <c r="E170" s="26"/>
      <c r="F170" s="26"/>
      <c r="G170" s="54"/>
      <c r="H170" s="133"/>
      <c r="I170" s="133"/>
      <c r="J170" s="54"/>
      <c r="K170" s="118"/>
      <c r="L170" s="118"/>
      <c r="M170" s="118"/>
      <c r="N170" s="564"/>
      <c r="O170" s="564"/>
      <c r="P170" s="564"/>
      <c r="Q170" s="564"/>
      <c r="R170" s="135"/>
      <c r="S170" s="134"/>
      <c r="T170" s="134"/>
      <c r="U170" s="134"/>
      <c r="V170" s="139"/>
      <c r="W170" s="139"/>
      <c r="X170" s="139"/>
      <c r="Y170" s="139"/>
      <c r="AP170" s="140"/>
      <c r="AQ170" s="140"/>
      <c r="AZ170" s="27"/>
      <c r="BA170" s="27"/>
      <c r="BB170" s="27"/>
      <c r="BH170" s="141"/>
      <c r="BI170" s="141"/>
      <c r="BJ170" s="141"/>
      <c r="BK170" s="141"/>
      <c r="BL170" s="141"/>
      <c r="BM170" s="141"/>
      <c r="BN170" s="141"/>
      <c r="BO170" s="141"/>
      <c r="BP170" s="141"/>
      <c r="CK170" s="7"/>
      <c r="CL170" s="7"/>
      <c r="CM170" s="20"/>
      <c r="CN170" s="2"/>
      <c r="CO170" s="185"/>
      <c r="CP170" s="2"/>
      <c r="CQ170" s="2"/>
      <c r="CR170" s="185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>
        <f t="shared" si="346"/>
      </c>
      <c r="DF170" s="2">
        <f t="shared" si="345"/>
      </c>
      <c r="DG170" s="129"/>
      <c r="DH170" s="2"/>
      <c r="DI170" s="2"/>
      <c r="DJ170" s="129"/>
      <c r="DK170" s="2"/>
      <c r="DL170" s="2"/>
      <c r="DM170" s="129"/>
      <c r="DN170" s="2">
        <f t="shared" si="347"/>
      </c>
      <c r="DO170" s="2">
        <f t="shared" si="348"/>
      </c>
      <c r="DP170" s="129">
        <f t="shared" si="349"/>
      </c>
      <c r="DQ170" s="2">
        <f t="shared" si="350"/>
      </c>
      <c r="DR170" s="2">
        <f t="shared" si="351"/>
      </c>
      <c r="DS170" s="129">
        <f t="shared" si="352"/>
      </c>
      <c r="DT170" s="2">
        <f t="shared" si="353"/>
      </c>
      <c r="DU170" s="2">
        <f t="shared" si="354"/>
      </c>
      <c r="DV170" s="129">
        <f t="shared" si="355"/>
      </c>
      <c r="DW170" s="2">
        <f t="shared" si="356"/>
      </c>
      <c r="DX170" s="2">
        <f t="shared" si="357"/>
      </c>
      <c r="DY170" s="129">
        <f t="shared" si="358"/>
      </c>
      <c r="DZ170" s="129"/>
      <c r="EA170" s="21"/>
      <c r="EB170" s="2"/>
      <c r="EC170" s="2"/>
      <c r="ED170" s="2"/>
      <c r="EE170" s="2"/>
      <c r="EF170" s="2"/>
      <c r="EG170" s="2"/>
      <c r="EH170" s="2"/>
      <c r="EI170" s="2"/>
      <c r="EJ170" s="10"/>
      <c r="EK170" s="2"/>
      <c r="EL170" s="2"/>
      <c r="EP170" s="215"/>
      <c r="EQ170" s="215"/>
      <c r="ER170" s="215"/>
      <c r="FC170" s="140"/>
      <c r="FD170" s="218"/>
      <c r="FE170" s="218"/>
      <c r="FF170" s="218"/>
      <c r="FG170" s="218"/>
      <c r="FH170" s="218"/>
      <c r="FI170" s="218"/>
      <c r="FJ170" s="218"/>
      <c r="FK170" s="328"/>
      <c r="FL170" s="328"/>
      <c r="FM170" s="328"/>
      <c r="FN170" s="328"/>
      <c r="FP170" s="328"/>
      <c r="FQ170" s="328"/>
      <c r="FR170" s="328"/>
      <c r="FS170" s="328"/>
      <c r="GF170" s="140"/>
      <c r="GG170" s="140"/>
      <c r="GH170" s="140"/>
      <c r="GJ170" s="218"/>
    </row>
    <row r="171" spans="2:192" s="137" customFormat="1" ht="16.5">
      <c r="B171" s="54"/>
      <c r="C171" s="54"/>
      <c r="D171" s="26"/>
      <c r="E171" s="26"/>
      <c r="F171" s="26"/>
      <c r="G171" s="54"/>
      <c r="H171" s="133"/>
      <c r="I171" s="133"/>
      <c r="J171" s="54"/>
      <c r="K171" s="118"/>
      <c r="L171" s="118"/>
      <c r="M171" s="118"/>
      <c r="N171" s="564"/>
      <c r="O171" s="564"/>
      <c r="P171" s="564"/>
      <c r="Q171" s="564"/>
      <c r="R171" s="135"/>
      <c r="S171" s="134"/>
      <c r="T171" s="134"/>
      <c r="U171" s="134"/>
      <c r="V171" s="139"/>
      <c r="W171" s="139"/>
      <c r="X171" s="139"/>
      <c r="Y171" s="139"/>
      <c r="AP171" s="140"/>
      <c r="AQ171" s="140"/>
      <c r="AZ171" s="27"/>
      <c r="BA171" s="27"/>
      <c r="BB171" s="27"/>
      <c r="BH171" s="141"/>
      <c r="BI171" s="141"/>
      <c r="BJ171" s="141"/>
      <c r="BK171" s="141"/>
      <c r="BL171" s="141"/>
      <c r="BM171" s="141"/>
      <c r="BN171" s="141"/>
      <c r="BO171" s="141"/>
      <c r="BP171" s="141"/>
      <c r="CK171" s="7"/>
      <c r="CL171" s="7"/>
      <c r="CM171" s="20"/>
      <c r="CN171" s="2"/>
      <c r="CO171" s="185"/>
      <c r="CP171" s="2"/>
      <c r="CQ171" s="2"/>
      <c r="CR171" s="185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>
        <f t="shared" si="346"/>
      </c>
      <c r="DF171" s="2">
        <f t="shared" si="345"/>
      </c>
      <c r="DG171" s="129"/>
      <c r="DH171" s="2"/>
      <c r="DI171" s="2"/>
      <c r="DJ171" s="129"/>
      <c r="DK171" s="2"/>
      <c r="DL171" s="2"/>
      <c r="DM171" s="129"/>
      <c r="DN171" s="2">
        <f t="shared" si="347"/>
      </c>
      <c r="DO171" s="2">
        <f t="shared" si="348"/>
      </c>
      <c r="DP171" s="129">
        <f t="shared" si="349"/>
      </c>
      <c r="DQ171" s="2">
        <f t="shared" si="350"/>
      </c>
      <c r="DR171" s="2">
        <f t="shared" si="351"/>
      </c>
      <c r="DS171" s="129">
        <f t="shared" si="352"/>
      </c>
      <c r="DT171" s="2">
        <f t="shared" si="353"/>
      </c>
      <c r="DU171" s="2">
        <f t="shared" si="354"/>
      </c>
      <c r="DV171" s="129">
        <f t="shared" si="355"/>
      </c>
      <c r="DW171" s="2">
        <f t="shared" si="356"/>
      </c>
      <c r="DX171" s="2">
        <f t="shared" si="357"/>
      </c>
      <c r="DY171" s="129">
        <f t="shared" si="358"/>
      </c>
      <c r="DZ171" s="129"/>
      <c r="EA171" s="21"/>
      <c r="EB171" s="2"/>
      <c r="EC171" s="2"/>
      <c r="ED171" s="2"/>
      <c r="EE171" s="2"/>
      <c r="EF171" s="2"/>
      <c r="EG171" s="2"/>
      <c r="EH171" s="2"/>
      <c r="EI171" s="2"/>
      <c r="EJ171" s="10"/>
      <c r="EK171" s="2"/>
      <c r="EL171" s="2"/>
      <c r="EP171" s="215"/>
      <c r="EQ171" s="215"/>
      <c r="ER171" s="215"/>
      <c r="FC171" s="140"/>
      <c r="FD171" s="218"/>
      <c r="FE171" s="218"/>
      <c r="FF171" s="218"/>
      <c r="FG171" s="218"/>
      <c r="FH171" s="218"/>
      <c r="FI171" s="218"/>
      <c r="FJ171" s="218"/>
      <c r="FK171" s="328"/>
      <c r="FL171" s="328"/>
      <c r="FM171" s="328"/>
      <c r="FN171" s="328"/>
      <c r="FP171" s="328"/>
      <c r="FQ171" s="328"/>
      <c r="FR171" s="328"/>
      <c r="FS171" s="328"/>
      <c r="GF171" s="140"/>
      <c r="GG171" s="140"/>
      <c r="GH171" s="140"/>
      <c r="GJ171" s="218"/>
    </row>
    <row r="172" spans="2:192" s="137" customFormat="1" ht="16.5">
      <c r="B172" s="54"/>
      <c r="C172" s="54"/>
      <c r="D172" s="26"/>
      <c r="E172" s="26"/>
      <c r="F172" s="26"/>
      <c r="G172" s="54"/>
      <c r="H172" s="133"/>
      <c r="I172" s="133"/>
      <c r="J172" s="54"/>
      <c r="K172" s="118"/>
      <c r="L172" s="118"/>
      <c r="M172" s="118"/>
      <c r="N172" s="564"/>
      <c r="O172" s="564"/>
      <c r="P172" s="564"/>
      <c r="Q172" s="564"/>
      <c r="R172" s="135"/>
      <c r="S172" s="134"/>
      <c r="T172" s="134"/>
      <c r="U172" s="134"/>
      <c r="V172" s="139"/>
      <c r="W172" s="139"/>
      <c r="X172" s="139"/>
      <c r="Y172" s="139"/>
      <c r="AP172" s="140"/>
      <c r="AQ172" s="140"/>
      <c r="AZ172" s="27"/>
      <c r="BA172" s="27"/>
      <c r="BB172" s="27"/>
      <c r="BH172" s="141"/>
      <c r="BI172" s="141"/>
      <c r="BJ172" s="141"/>
      <c r="BK172" s="141"/>
      <c r="BL172" s="141"/>
      <c r="BM172" s="141"/>
      <c r="BN172" s="141"/>
      <c r="BO172" s="141"/>
      <c r="BP172" s="141"/>
      <c r="CK172" s="7"/>
      <c r="CL172" s="7"/>
      <c r="CM172" s="20"/>
      <c r="CN172" s="2"/>
      <c r="CO172" s="185"/>
      <c r="CP172" s="2"/>
      <c r="CQ172" s="2"/>
      <c r="CR172" s="185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>
        <f t="shared" si="346"/>
      </c>
      <c r="DF172" s="2">
        <f t="shared" si="345"/>
      </c>
      <c r="DG172" s="129"/>
      <c r="DH172" s="2"/>
      <c r="DI172" s="2"/>
      <c r="DJ172" s="129"/>
      <c r="DK172" s="2"/>
      <c r="DL172" s="2"/>
      <c r="DM172" s="129"/>
      <c r="DN172" s="2">
        <f t="shared" si="347"/>
      </c>
      <c r="DO172" s="2">
        <f t="shared" si="348"/>
      </c>
      <c r="DP172" s="129">
        <f t="shared" si="349"/>
      </c>
      <c r="DQ172" s="2">
        <f t="shared" si="350"/>
      </c>
      <c r="DR172" s="2">
        <f t="shared" si="351"/>
      </c>
      <c r="DS172" s="129">
        <f t="shared" si="352"/>
      </c>
      <c r="DT172" s="2">
        <f t="shared" si="353"/>
      </c>
      <c r="DU172" s="2">
        <f t="shared" si="354"/>
      </c>
      <c r="DV172" s="129">
        <f t="shared" si="355"/>
      </c>
      <c r="DW172" s="2">
        <f t="shared" si="356"/>
      </c>
      <c r="DX172" s="2">
        <f t="shared" si="357"/>
      </c>
      <c r="DY172" s="129">
        <f t="shared" si="358"/>
      </c>
      <c r="DZ172" s="129"/>
      <c r="EA172" s="21"/>
      <c r="EB172" s="2"/>
      <c r="EC172" s="2"/>
      <c r="ED172" s="2"/>
      <c r="EE172" s="2"/>
      <c r="EF172" s="2"/>
      <c r="EG172" s="2"/>
      <c r="EH172" s="2"/>
      <c r="EI172" s="2"/>
      <c r="EJ172" s="10"/>
      <c r="EK172" s="2"/>
      <c r="EL172" s="2"/>
      <c r="EP172" s="215"/>
      <c r="EQ172" s="215"/>
      <c r="ER172" s="215"/>
      <c r="FC172" s="140"/>
      <c r="FD172" s="218"/>
      <c r="FE172" s="218"/>
      <c r="FF172" s="218"/>
      <c r="FG172" s="218"/>
      <c r="FH172" s="218"/>
      <c r="FI172" s="218"/>
      <c r="FJ172" s="218"/>
      <c r="FK172" s="328"/>
      <c r="FL172" s="328"/>
      <c r="FM172" s="328"/>
      <c r="FN172" s="328"/>
      <c r="FP172" s="328"/>
      <c r="FQ172" s="328"/>
      <c r="FR172" s="328"/>
      <c r="FS172" s="328"/>
      <c r="GF172" s="140"/>
      <c r="GG172" s="140"/>
      <c r="GH172" s="140"/>
      <c r="GJ172" s="218"/>
    </row>
    <row r="173" spans="2:192" s="137" customFormat="1" ht="16.5">
      <c r="B173" s="54"/>
      <c r="C173" s="54"/>
      <c r="D173" s="26"/>
      <c r="E173" s="26"/>
      <c r="F173" s="26"/>
      <c r="G173" s="54"/>
      <c r="H173" s="133"/>
      <c r="I173" s="133"/>
      <c r="J173" s="54"/>
      <c r="K173" s="118"/>
      <c r="L173" s="118"/>
      <c r="M173" s="118"/>
      <c r="N173" s="564"/>
      <c r="O173" s="564"/>
      <c r="P173" s="564"/>
      <c r="Q173" s="564"/>
      <c r="R173" s="135"/>
      <c r="S173" s="134"/>
      <c r="T173" s="134"/>
      <c r="U173" s="134"/>
      <c r="V173" s="139"/>
      <c r="W173" s="139"/>
      <c r="X173" s="139"/>
      <c r="Y173" s="139"/>
      <c r="AP173" s="140"/>
      <c r="AQ173" s="140"/>
      <c r="AZ173" s="27"/>
      <c r="BA173" s="27"/>
      <c r="BB173" s="27"/>
      <c r="BH173" s="141"/>
      <c r="BI173" s="141"/>
      <c r="BJ173" s="141"/>
      <c r="BK173" s="141"/>
      <c r="BL173" s="141"/>
      <c r="BM173" s="141"/>
      <c r="BN173" s="141"/>
      <c r="BO173" s="141"/>
      <c r="BP173" s="141"/>
      <c r="CK173" s="7"/>
      <c r="CL173" s="7"/>
      <c r="CM173" s="20"/>
      <c r="CN173" s="2"/>
      <c r="CO173" s="185"/>
      <c r="CP173" s="2"/>
      <c r="CQ173" s="2"/>
      <c r="CR173" s="185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>
        <f t="shared" si="346"/>
      </c>
      <c r="DF173" s="2">
        <f t="shared" si="345"/>
      </c>
      <c r="DG173" s="129"/>
      <c r="DH173" s="2"/>
      <c r="DI173" s="2"/>
      <c r="DJ173" s="129"/>
      <c r="DK173" s="2"/>
      <c r="DL173" s="2"/>
      <c r="DM173" s="129"/>
      <c r="DN173" s="2">
        <f t="shared" si="347"/>
      </c>
      <c r="DO173" s="2">
        <f t="shared" si="348"/>
      </c>
      <c r="DP173" s="129">
        <f t="shared" si="349"/>
      </c>
      <c r="DQ173" s="2">
        <f t="shared" si="350"/>
      </c>
      <c r="DR173" s="2">
        <f t="shared" si="351"/>
      </c>
      <c r="DS173" s="129">
        <f t="shared" si="352"/>
      </c>
      <c r="DT173" s="2">
        <f t="shared" si="353"/>
      </c>
      <c r="DU173" s="2">
        <f t="shared" si="354"/>
      </c>
      <c r="DV173" s="129">
        <f t="shared" si="355"/>
      </c>
      <c r="DW173" s="2">
        <f t="shared" si="356"/>
      </c>
      <c r="DX173" s="2">
        <f t="shared" si="357"/>
      </c>
      <c r="DY173" s="129">
        <f t="shared" si="358"/>
      </c>
      <c r="DZ173" s="129"/>
      <c r="EA173" s="21"/>
      <c r="EB173" s="2"/>
      <c r="EC173" s="2"/>
      <c r="ED173" s="2"/>
      <c r="EE173" s="2"/>
      <c r="EF173" s="2"/>
      <c r="EG173" s="2"/>
      <c r="EH173" s="2"/>
      <c r="EI173" s="2"/>
      <c r="EJ173" s="10"/>
      <c r="EK173" s="2"/>
      <c r="EL173" s="2"/>
      <c r="EP173" s="215"/>
      <c r="EQ173" s="215"/>
      <c r="ER173" s="215"/>
      <c r="FC173" s="140"/>
      <c r="FD173" s="218"/>
      <c r="FE173" s="218"/>
      <c r="FF173" s="218"/>
      <c r="FG173" s="218"/>
      <c r="FH173" s="218"/>
      <c r="FI173" s="218"/>
      <c r="FJ173" s="218"/>
      <c r="FK173" s="328"/>
      <c r="FL173" s="328"/>
      <c r="FM173" s="328"/>
      <c r="FN173" s="328"/>
      <c r="FP173" s="328"/>
      <c r="FQ173" s="328"/>
      <c r="FR173" s="328"/>
      <c r="FS173" s="328"/>
      <c r="GF173" s="140"/>
      <c r="GG173" s="140"/>
      <c r="GH173" s="140"/>
      <c r="GJ173" s="218"/>
    </row>
    <row r="174" spans="2:192" s="137" customFormat="1" ht="16.5">
      <c r="B174" s="54"/>
      <c r="C174" s="54"/>
      <c r="D174" s="26"/>
      <c r="E174" s="26"/>
      <c r="F174" s="26"/>
      <c r="G174" s="54"/>
      <c r="H174" s="133"/>
      <c r="I174" s="133"/>
      <c r="J174" s="54"/>
      <c r="K174" s="118"/>
      <c r="L174" s="118"/>
      <c r="M174" s="118"/>
      <c r="N174" s="564"/>
      <c r="O174" s="564"/>
      <c r="P174" s="564"/>
      <c r="Q174" s="564"/>
      <c r="R174" s="135"/>
      <c r="S174" s="134"/>
      <c r="T174" s="134"/>
      <c r="U174" s="134"/>
      <c r="V174" s="139"/>
      <c r="W174" s="139"/>
      <c r="X174" s="139"/>
      <c r="Y174" s="139"/>
      <c r="AP174" s="140"/>
      <c r="AQ174" s="140"/>
      <c r="AZ174" s="27"/>
      <c r="BA174" s="27"/>
      <c r="BB174" s="27"/>
      <c r="BH174" s="141"/>
      <c r="BI174" s="141"/>
      <c r="BJ174" s="141"/>
      <c r="BK174" s="141"/>
      <c r="BL174" s="141"/>
      <c r="BM174" s="141"/>
      <c r="BN174" s="141"/>
      <c r="BO174" s="141"/>
      <c r="BP174" s="141"/>
      <c r="CK174" s="7"/>
      <c r="CL174" s="7"/>
      <c r="CM174" s="20"/>
      <c r="CN174" s="2"/>
      <c r="CO174" s="185"/>
      <c r="CP174" s="2"/>
      <c r="CQ174" s="2"/>
      <c r="CR174" s="185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>
        <f t="shared" si="346"/>
      </c>
      <c r="DF174" s="2">
        <f t="shared" si="345"/>
      </c>
      <c r="DG174" s="129"/>
      <c r="DH174" s="2"/>
      <c r="DI174" s="2"/>
      <c r="DJ174" s="129"/>
      <c r="DK174" s="2"/>
      <c r="DL174" s="2"/>
      <c r="DM174" s="129"/>
      <c r="DN174" s="2">
        <f t="shared" si="347"/>
      </c>
      <c r="DO174" s="2">
        <f t="shared" si="348"/>
      </c>
      <c r="DP174" s="129">
        <f t="shared" si="349"/>
      </c>
      <c r="DQ174" s="2">
        <f t="shared" si="350"/>
      </c>
      <c r="DR174" s="2">
        <f t="shared" si="351"/>
      </c>
      <c r="DS174" s="129">
        <f t="shared" si="352"/>
      </c>
      <c r="DT174" s="2">
        <f t="shared" si="353"/>
      </c>
      <c r="DU174" s="2">
        <f t="shared" si="354"/>
      </c>
      <c r="DV174" s="129">
        <f t="shared" si="355"/>
      </c>
      <c r="DW174" s="2">
        <f t="shared" si="356"/>
      </c>
      <c r="DX174" s="2">
        <f t="shared" si="357"/>
      </c>
      <c r="DY174" s="129">
        <f t="shared" si="358"/>
      </c>
      <c r="DZ174" s="129"/>
      <c r="EA174" s="21"/>
      <c r="EB174" s="2"/>
      <c r="EC174" s="2"/>
      <c r="ED174" s="2"/>
      <c r="EE174" s="2"/>
      <c r="EF174" s="2"/>
      <c r="EG174" s="2"/>
      <c r="EH174" s="2"/>
      <c r="EI174" s="2"/>
      <c r="EJ174" s="10"/>
      <c r="EK174" s="2"/>
      <c r="EL174" s="2"/>
      <c r="EP174" s="215"/>
      <c r="EQ174" s="215"/>
      <c r="ER174" s="215"/>
      <c r="FC174" s="140"/>
      <c r="FD174" s="218"/>
      <c r="FE174" s="218"/>
      <c r="FF174" s="218"/>
      <c r="FG174" s="218"/>
      <c r="FH174" s="218"/>
      <c r="FI174" s="218"/>
      <c r="FJ174" s="218"/>
      <c r="FK174" s="328"/>
      <c r="FL174" s="328"/>
      <c r="FM174" s="328"/>
      <c r="FN174" s="328"/>
      <c r="FP174" s="328"/>
      <c r="FQ174" s="328"/>
      <c r="FR174" s="328"/>
      <c r="FS174" s="328"/>
      <c r="GF174" s="140"/>
      <c r="GG174" s="140"/>
      <c r="GH174" s="140"/>
      <c r="GJ174" s="218"/>
    </row>
    <row r="175" spans="2:192" s="137" customFormat="1" ht="16.5">
      <c r="B175" s="54"/>
      <c r="C175" s="54"/>
      <c r="D175" s="26"/>
      <c r="E175" s="26"/>
      <c r="F175" s="26"/>
      <c r="G175" s="54"/>
      <c r="H175" s="133"/>
      <c r="I175" s="133"/>
      <c r="J175" s="54"/>
      <c r="K175" s="118"/>
      <c r="L175" s="118"/>
      <c r="M175" s="118"/>
      <c r="N175" s="564"/>
      <c r="O175" s="564"/>
      <c r="P175" s="564"/>
      <c r="Q175" s="564"/>
      <c r="R175" s="135"/>
      <c r="S175" s="134"/>
      <c r="T175" s="134"/>
      <c r="U175" s="134"/>
      <c r="V175" s="139"/>
      <c r="W175" s="139"/>
      <c r="X175" s="139"/>
      <c r="Y175" s="139"/>
      <c r="AP175" s="140"/>
      <c r="AQ175" s="140"/>
      <c r="AZ175" s="27"/>
      <c r="BA175" s="27"/>
      <c r="BB175" s="27"/>
      <c r="BH175" s="141"/>
      <c r="BI175" s="141"/>
      <c r="BJ175" s="141"/>
      <c r="BK175" s="141"/>
      <c r="BL175" s="141"/>
      <c r="BM175" s="141"/>
      <c r="BN175" s="141"/>
      <c r="BO175" s="141"/>
      <c r="BP175" s="141"/>
      <c r="CK175" s="7"/>
      <c r="CL175" s="7"/>
      <c r="CM175" s="20"/>
      <c r="CN175" s="2"/>
      <c r="CO175" s="185"/>
      <c r="CP175" s="2"/>
      <c r="CQ175" s="2"/>
      <c r="CR175" s="185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>
        <f t="shared" si="346"/>
      </c>
      <c r="DF175" s="2">
        <f t="shared" si="345"/>
      </c>
      <c r="DG175" s="129"/>
      <c r="DH175" s="2"/>
      <c r="DI175" s="2"/>
      <c r="DJ175" s="129"/>
      <c r="DK175" s="2"/>
      <c r="DL175" s="2"/>
      <c r="DM175" s="129"/>
      <c r="DN175" s="2">
        <f t="shared" si="347"/>
      </c>
      <c r="DO175" s="2">
        <f t="shared" si="348"/>
      </c>
      <c r="DP175" s="129">
        <f t="shared" si="349"/>
      </c>
      <c r="DQ175" s="2">
        <f t="shared" si="350"/>
      </c>
      <c r="DR175" s="2">
        <f t="shared" si="351"/>
      </c>
      <c r="DS175" s="129">
        <f t="shared" si="352"/>
      </c>
      <c r="DT175" s="2">
        <f t="shared" si="353"/>
      </c>
      <c r="DU175" s="2">
        <f t="shared" si="354"/>
      </c>
      <c r="DV175" s="129">
        <f t="shared" si="355"/>
      </c>
      <c r="DW175" s="2">
        <f t="shared" si="356"/>
      </c>
      <c r="DX175" s="2">
        <f t="shared" si="357"/>
      </c>
      <c r="DY175" s="129">
        <f t="shared" si="358"/>
      </c>
      <c r="DZ175" s="129"/>
      <c r="EA175" s="21"/>
      <c r="EB175" s="2"/>
      <c r="EC175" s="2"/>
      <c r="ED175" s="2"/>
      <c r="EE175" s="2"/>
      <c r="EF175" s="2"/>
      <c r="EG175" s="2"/>
      <c r="EH175" s="2"/>
      <c r="EI175" s="2"/>
      <c r="EJ175" s="10"/>
      <c r="EK175" s="2"/>
      <c r="EL175" s="2"/>
      <c r="EP175" s="215"/>
      <c r="EQ175" s="215"/>
      <c r="ER175" s="215"/>
      <c r="FC175" s="140"/>
      <c r="FD175" s="218"/>
      <c r="FE175" s="218"/>
      <c r="FF175" s="218"/>
      <c r="FG175" s="218"/>
      <c r="FH175" s="218"/>
      <c r="FI175" s="218"/>
      <c r="FJ175" s="218"/>
      <c r="FK175" s="328"/>
      <c r="FL175" s="328"/>
      <c r="FM175" s="328"/>
      <c r="FN175" s="328"/>
      <c r="FP175" s="328"/>
      <c r="FQ175" s="328"/>
      <c r="FR175" s="328"/>
      <c r="FS175" s="328"/>
      <c r="GF175" s="140"/>
      <c r="GG175" s="140"/>
      <c r="GH175" s="140"/>
      <c r="GJ175" s="218"/>
    </row>
    <row r="176" spans="2:192" s="137" customFormat="1" ht="16.5">
      <c r="B176" s="54"/>
      <c r="C176" s="54"/>
      <c r="D176" s="26"/>
      <c r="E176" s="26"/>
      <c r="F176" s="26"/>
      <c r="G176" s="54"/>
      <c r="H176" s="133"/>
      <c r="I176" s="133"/>
      <c r="J176" s="54"/>
      <c r="K176" s="118"/>
      <c r="L176" s="118"/>
      <c r="M176" s="118"/>
      <c r="N176" s="564"/>
      <c r="O176" s="564"/>
      <c r="P176" s="564"/>
      <c r="Q176" s="564"/>
      <c r="R176" s="135"/>
      <c r="S176" s="134"/>
      <c r="T176" s="134"/>
      <c r="U176" s="134"/>
      <c r="V176" s="139"/>
      <c r="W176" s="139"/>
      <c r="X176" s="139"/>
      <c r="Y176" s="139"/>
      <c r="AP176" s="140"/>
      <c r="AQ176" s="140"/>
      <c r="AZ176" s="27"/>
      <c r="BA176" s="27"/>
      <c r="BB176" s="27"/>
      <c r="BH176" s="141"/>
      <c r="BI176" s="141"/>
      <c r="BJ176" s="141"/>
      <c r="BK176" s="141"/>
      <c r="BL176" s="141"/>
      <c r="BM176" s="141"/>
      <c r="BN176" s="141"/>
      <c r="BO176" s="141"/>
      <c r="BP176" s="141"/>
      <c r="CK176" s="7"/>
      <c r="CL176" s="7"/>
      <c r="CM176" s="20"/>
      <c r="CN176" s="2"/>
      <c r="CO176" s="185"/>
      <c r="CP176" s="2"/>
      <c r="CQ176" s="2"/>
      <c r="CR176" s="185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>
        <f t="shared" si="346"/>
      </c>
      <c r="DF176" s="2">
        <f t="shared" si="345"/>
      </c>
      <c r="DG176" s="129"/>
      <c r="DH176" s="2"/>
      <c r="DI176" s="2"/>
      <c r="DJ176" s="129"/>
      <c r="DK176" s="2"/>
      <c r="DL176" s="2"/>
      <c r="DM176" s="129"/>
      <c r="DN176" s="2">
        <f t="shared" si="347"/>
      </c>
      <c r="DO176" s="2">
        <f t="shared" si="348"/>
      </c>
      <c r="DP176" s="129">
        <f t="shared" si="349"/>
      </c>
      <c r="DQ176" s="2">
        <f t="shared" si="350"/>
      </c>
      <c r="DR176" s="2">
        <f t="shared" si="351"/>
      </c>
      <c r="DS176" s="129">
        <f t="shared" si="352"/>
      </c>
      <c r="DT176" s="2">
        <f t="shared" si="353"/>
      </c>
      <c r="DU176" s="2">
        <f t="shared" si="354"/>
      </c>
      <c r="DV176" s="129">
        <f t="shared" si="355"/>
      </c>
      <c r="DW176" s="2">
        <f t="shared" si="356"/>
      </c>
      <c r="DX176" s="2">
        <f t="shared" si="357"/>
      </c>
      <c r="DY176" s="129">
        <f t="shared" si="358"/>
      </c>
      <c r="DZ176" s="129"/>
      <c r="EA176" s="21"/>
      <c r="EB176" s="2"/>
      <c r="EC176" s="2"/>
      <c r="ED176" s="2"/>
      <c r="EE176" s="2"/>
      <c r="EF176" s="2"/>
      <c r="EG176" s="2"/>
      <c r="EH176" s="2"/>
      <c r="EI176" s="2"/>
      <c r="EJ176" s="10"/>
      <c r="EK176" s="2"/>
      <c r="EL176" s="2"/>
      <c r="EP176" s="215"/>
      <c r="EQ176" s="215"/>
      <c r="ER176" s="215"/>
      <c r="FC176" s="140"/>
      <c r="FD176" s="218"/>
      <c r="FE176" s="218"/>
      <c r="FF176" s="218"/>
      <c r="FG176" s="218"/>
      <c r="FH176" s="218"/>
      <c r="FI176" s="218"/>
      <c r="FJ176" s="218"/>
      <c r="FK176" s="328"/>
      <c r="FL176" s="328"/>
      <c r="FM176" s="328"/>
      <c r="FN176" s="328"/>
      <c r="FP176" s="328"/>
      <c r="FQ176" s="328"/>
      <c r="FR176" s="328"/>
      <c r="FS176" s="328"/>
      <c r="GF176" s="140"/>
      <c r="GG176" s="140"/>
      <c r="GH176" s="140"/>
      <c r="GJ176" s="218"/>
    </row>
  </sheetData>
  <sheetProtection password="ECCE" sheet="1"/>
  <mergeCells count="317">
    <mergeCell ref="W83:Z83"/>
    <mergeCell ref="W77:Z77"/>
    <mergeCell ref="N27:AM27"/>
    <mergeCell ref="N26:P26"/>
    <mergeCell ref="Q26:AM26"/>
    <mergeCell ref="W80:Z80"/>
    <mergeCell ref="W81:Z81"/>
    <mergeCell ref="W74:Z74"/>
    <mergeCell ref="W75:Z75"/>
    <mergeCell ref="W50:Y50"/>
    <mergeCell ref="W92:Z92"/>
    <mergeCell ref="W93:Z93"/>
    <mergeCell ref="W86:Z86"/>
    <mergeCell ref="W87:Z87"/>
    <mergeCell ref="W85:Z85"/>
    <mergeCell ref="W88:Z88"/>
    <mergeCell ref="W84:Z84"/>
    <mergeCell ref="W82:Z82"/>
    <mergeCell ref="W100:Z100"/>
    <mergeCell ref="W94:Z94"/>
    <mergeCell ref="W95:Z95"/>
    <mergeCell ref="W96:Z96"/>
    <mergeCell ref="W97:Z97"/>
    <mergeCell ref="W98:Z98"/>
    <mergeCell ref="W99:Z99"/>
    <mergeCell ref="W91:Z91"/>
    <mergeCell ref="W101:Z101"/>
    <mergeCell ref="W110:Z110"/>
    <mergeCell ref="W111:Z111"/>
    <mergeCell ref="W102:Z102"/>
    <mergeCell ref="W103:Z103"/>
    <mergeCell ref="W104:Z104"/>
    <mergeCell ref="W105:Z105"/>
    <mergeCell ref="W113:Z113"/>
    <mergeCell ref="W106:Z106"/>
    <mergeCell ref="W107:Z107"/>
    <mergeCell ref="W108:Z108"/>
    <mergeCell ref="W109:Z109"/>
    <mergeCell ref="W112:Z112"/>
    <mergeCell ref="W51:Y51"/>
    <mergeCell ref="W89:Z89"/>
    <mergeCell ref="W90:Z90"/>
    <mergeCell ref="W71:Z71"/>
    <mergeCell ref="W76:Z76"/>
    <mergeCell ref="W72:Z72"/>
    <mergeCell ref="W73:Z73"/>
    <mergeCell ref="W78:Z78"/>
    <mergeCell ref="W79:Z79"/>
    <mergeCell ref="W60:Y60"/>
    <mergeCell ref="W44:Y44"/>
    <mergeCell ref="W45:Y45"/>
    <mergeCell ref="W46:Y46"/>
    <mergeCell ref="W47:Y47"/>
    <mergeCell ref="W48:Y48"/>
    <mergeCell ref="W49:Y49"/>
    <mergeCell ref="N111:Q111"/>
    <mergeCell ref="N112:Q112"/>
    <mergeCell ref="N113:Q113"/>
    <mergeCell ref="D29:F29"/>
    <mergeCell ref="N107:Q107"/>
    <mergeCell ref="N108:Q108"/>
    <mergeCell ref="N109:Q109"/>
    <mergeCell ref="N110:Q110"/>
    <mergeCell ref="N103:Q103"/>
    <mergeCell ref="N104:Q104"/>
    <mergeCell ref="N105:Q105"/>
    <mergeCell ref="N106:Q106"/>
    <mergeCell ref="N99:Q99"/>
    <mergeCell ref="N100:Q100"/>
    <mergeCell ref="N101:Q101"/>
    <mergeCell ref="N102:Q102"/>
    <mergeCell ref="N93:Q93"/>
    <mergeCell ref="N94:Q94"/>
    <mergeCell ref="N95:Q95"/>
    <mergeCell ref="N96:Q96"/>
    <mergeCell ref="N97:Q97"/>
    <mergeCell ref="N98:Q98"/>
    <mergeCell ref="N87:Q87"/>
    <mergeCell ref="N88:Q88"/>
    <mergeCell ref="N89:Q89"/>
    <mergeCell ref="N90:Q90"/>
    <mergeCell ref="N91:Q91"/>
    <mergeCell ref="N92:Q92"/>
    <mergeCell ref="N81:Q81"/>
    <mergeCell ref="N82:Q82"/>
    <mergeCell ref="N83:Q83"/>
    <mergeCell ref="N84:Q84"/>
    <mergeCell ref="N85:Q85"/>
    <mergeCell ref="N86:Q86"/>
    <mergeCell ref="N75:Q75"/>
    <mergeCell ref="N76:Q76"/>
    <mergeCell ref="N77:Q77"/>
    <mergeCell ref="N78:Q78"/>
    <mergeCell ref="N79:Q79"/>
    <mergeCell ref="N80:Q80"/>
    <mergeCell ref="N69:Q69"/>
    <mergeCell ref="N70:Q70"/>
    <mergeCell ref="N71:Q71"/>
    <mergeCell ref="N72:Q72"/>
    <mergeCell ref="N73:Q73"/>
    <mergeCell ref="N74:Q74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N45:Q45"/>
    <mergeCell ref="N46:Q46"/>
    <mergeCell ref="N47:Q47"/>
    <mergeCell ref="N48:Q48"/>
    <mergeCell ref="N49:Q49"/>
    <mergeCell ref="N50:Q50"/>
    <mergeCell ref="B5:I5"/>
    <mergeCell ref="B1:AN1"/>
    <mergeCell ref="S5:V5"/>
    <mergeCell ref="N35:Q35"/>
    <mergeCell ref="N29:Q30"/>
    <mergeCell ref="S29:U29"/>
    <mergeCell ref="N31:Q31"/>
    <mergeCell ref="H30:J30"/>
    <mergeCell ref="K30:M30"/>
    <mergeCell ref="Q2:Z2"/>
    <mergeCell ref="N115:Q115"/>
    <mergeCell ref="N116:Q116"/>
    <mergeCell ref="N117:Q117"/>
    <mergeCell ref="N10:R10"/>
    <mergeCell ref="N32:Q32"/>
    <mergeCell ref="N33:Q33"/>
    <mergeCell ref="N34:Q34"/>
    <mergeCell ref="N36:Q36"/>
    <mergeCell ref="N37:Q37"/>
    <mergeCell ref="N38:Q38"/>
    <mergeCell ref="N122:Q122"/>
    <mergeCell ref="N125:Q125"/>
    <mergeCell ref="N118:Q118"/>
    <mergeCell ref="N119:Q119"/>
    <mergeCell ref="N120:Q120"/>
    <mergeCell ref="N121:Q121"/>
    <mergeCell ref="N129:Q129"/>
    <mergeCell ref="N130:Q130"/>
    <mergeCell ref="N126:Q126"/>
    <mergeCell ref="N127:Q127"/>
    <mergeCell ref="N128:Q128"/>
    <mergeCell ref="N135:Q135"/>
    <mergeCell ref="N136:Q136"/>
    <mergeCell ref="N137:Q137"/>
    <mergeCell ref="N138:Q138"/>
    <mergeCell ref="N131:Q131"/>
    <mergeCell ref="N132:Q132"/>
    <mergeCell ref="N133:Q133"/>
    <mergeCell ref="N134:Q134"/>
    <mergeCell ref="N143:Q143"/>
    <mergeCell ref="N144:Q144"/>
    <mergeCell ref="N145:Q145"/>
    <mergeCell ref="N146:Q146"/>
    <mergeCell ref="N139:Q139"/>
    <mergeCell ref="N140:Q140"/>
    <mergeCell ref="N141:Q141"/>
    <mergeCell ref="N142:Q142"/>
    <mergeCell ref="N151:Q151"/>
    <mergeCell ref="N152:Q152"/>
    <mergeCell ref="N153:Q153"/>
    <mergeCell ref="N154:Q154"/>
    <mergeCell ref="N147:Q147"/>
    <mergeCell ref="N148:Q148"/>
    <mergeCell ref="N149:Q149"/>
    <mergeCell ref="N150:Q150"/>
    <mergeCell ref="N159:Q159"/>
    <mergeCell ref="N160:Q160"/>
    <mergeCell ref="N161:Q161"/>
    <mergeCell ref="N162:Q162"/>
    <mergeCell ref="N155:Q155"/>
    <mergeCell ref="N156:Q156"/>
    <mergeCell ref="N157:Q157"/>
    <mergeCell ref="N158:Q158"/>
    <mergeCell ref="N166:Q166"/>
    <mergeCell ref="N167:Q167"/>
    <mergeCell ref="N176:Q176"/>
    <mergeCell ref="N171:Q171"/>
    <mergeCell ref="N172:Q172"/>
    <mergeCell ref="N173:Q173"/>
    <mergeCell ref="N174:Q174"/>
    <mergeCell ref="N168:Q168"/>
    <mergeCell ref="N39:Q39"/>
    <mergeCell ref="N42:Q42"/>
    <mergeCell ref="N43:Q43"/>
    <mergeCell ref="N44:Q44"/>
    <mergeCell ref="N175:Q175"/>
    <mergeCell ref="N170:Q170"/>
    <mergeCell ref="N163:Q163"/>
    <mergeCell ref="N164:Q164"/>
    <mergeCell ref="N169:Q169"/>
    <mergeCell ref="N165:Q165"/>
    <mergeCell ref="CE29:CG29"/>
    <mergeCell ref="BY24:BY27"/>
    <mergeCell ref="N40:Q40"/>
    <mergeCell ref="N41:Q41"/>
    <mergeCell ref="W35:Y35"/>
    <mergeCell ref="W36:Y36"/>
    <mergeCell ref="W37:Y37"/>
    <mergeCell ref="W39:Y39"/>
    <mergeCell ref="W40:Y40"/>
    <mergeCell ref="W41:Y41"/>
    <mergeCell ref="DU17:DV17"/>
    <mergeCell ref="DB27:DB30"/>
    <mergeCell ref="EK2:EL2"/>
    <mergeCell ref="EB29:EE29"/>
    <mergeCell ref="Y9:Z9"/>
    <mergeCell ref="Y10:Z10"/>
    <mergeCell ref="EK27:EL30"/>
    <mergeCell ref="EK5:EL5"/>
    <mergeCell ref="CJ28:CJ30"/>
    <mergeCell ref="CH28:CH30"/>
    <mergeCell ref="CN27:CN30"/>
    <mergeCell ref="BV28:BX29"/>
    <mergeCell ref="BY28:CA29"/>
    <mergeCell ref="CO27:CP29"/>
    <mergeCell ref="BZ24:BZ27"/>
    <mergeCell ref="EK8:EL8"/>
    <mergeCell ref="EK9:EL9"/>
    <mergeCell ref="CK27:CK30"/>
    <mergeCell ref="CI28:CI30"/>
    <mergeCell ref="CQ27:CQ30"/>
    <mergeCell ref="DU18:DV18"/>
    <mergeCell ref="DC29:DK29"/>
    <mergeCell ref="DC25:EA27"/>
    <mergeCell ref="EC2:ED2"/>
    <mergeCell ref="CR5:CS7"/>
    <mergeCell ref="DU16:DV16"/>
    <mergeCell ref="CR27:CS29"/>
    <mergeCell ref="EB25:EJ27"/>
    <mergeCell ref="CT27:CV29"/>
    <mergeCell ref="CZ27:CZ30"/>
    <mergeCell ref="O7:R7"/>
    <mergeCell ref="P12:AM12"/>
    <mergeCell ref="O8:R8"/>
    <mergeCell ref="N12:O12"/>
    <mergeCell ref="P15:AM15"/>
    <mergeCell ref="AE7:AG8"/>
    <mergeCell ref="P14:AL14"/>
    <mergeCell ref="P17:AM17"/>
    <mergeCell ref="P22:AM22"/>
    <mergeCell ref="R29:R30"/>
    <mergeCell ref="BS28:BU29"/>
    <mergeCell ref="N5:R5"/>
    <mergeCell ref="BR24:BX27"/>
    <mergeCell ref="N13:O13"/>
    <mergeCell ref="S13:AM13"/>
    <mergeCell ref="P13:R13"/>
    <mergeCell ref="N16:O16"/>
    <mergeCell ref="W34:Y34"/>
    <mergeCell ref="W38:Y38"/>
    <mergeCell ref="W42:Y42"/>
    <mergeCell ref="FC29:FC30"/>
    <mergeCell ref="N9:R9"/>
    <mergeCell ref="CL27:CL30"/>
    <mergeCell ref="BR21:CA23"/>
    <mergeCell ref="CM27:CM30"/>
    <mergeCell ref="CW27:CY29"/>
    <mergeCell ref="AR21:BC21"/>
    <mergeCell ref="W61:Y61"/>
    <mergeCell ref="W62:Y62"/>
    <mergeCell ref="W63:Y63"/>
    <mergeCell ref="W52:Y52"/>
    <mergeCell ref="W53:Y53"/>
    <mergeCell ref="W54:Y54"/>
    <mergeCell ref="W55:Y55"/>
    <mergeCell ref="W56:Y56"/>
    <mergeCell ref="W58:Y58"/>
    <mergeCell ref="W59:Y59"/>
    <mergeCell ref="W70:Y70"/>
    <mergeCell ref="W64:Y64"/>
    <mergeCell ref="W65:Y65"/>
    <mergeCell ref="W66:Y66"/>
    <mergeCell ref="W67:Y67"/>
    <mergeCell ref="W68:Y68"/>
    <mergeCell ref="W69:Y69"/>
    <mergeCell ref="W43:Y43"/>
    <mergeCell ref="P16:AM16"/>
    <mergeCell ref="P23:AM23"/>
    <mergeCell ref="P24:AM24"/>
    <mergeCell ref="W57:Y57"/>
    <mergeCell ref="P25:AM25"/>
    <mergeCell ref="P18:AM18"/>
    <mergeCell ref="P19:AM19"/>
    <mergeCell ref="P20:AM20"/>
    <mergeCell ref="W33:Y33"/>
    <mergeCell ref="P21:S21"/>
    <mergeCell ref="T21:Z21"/>
    <mergeCell ref="W31:Y31"/>
    <mergeCell ref="W32:Y32"/>
    <mergeCell ref="Z29:AF29"/>
    <mergeCell ref="W29:Y30"/>
    <mergeCell ref="V29:V30"/>
    <mergeCell ref="GF26:GF30"/>
    <mergeCell ref="GG26:GG30"/>
    <mergeCell ref="Z141:AF141"/>
    <mergeCell ref="AG141:AM141"/>
    <mergeCell ref="Z142:AF142"/>
    <mergeCell ref="AG142:AM142"/>
    <mergeCell ref="AG29:AM29"/>
    <mergeCell ref="DA27:DA30"/>
    <mergeCell ref="CA24:CA27"/>
    <mergeCell ref="BR28:BR30"/>
  </mergeCells>
  <conditionalFormatting sqref="AF114">
    <cfRule type="expression" priority="119" dxfId="56" stopIfTrue="1">
      <formula>AND(S114&gt;=50,T114&gt;=25,S114&lt;=65)</formula>
    </cfRule>
  </conditionalFormatting>
  <conditionalFormatting sqref="AM114">
    <cfRule type="expression" priority="120" dxfId="57" stopIfTrue="1">
      <formula>AND(T114&gt;=30,S114&gt;=55,S114&lt;=60)</formula>
    </cfRule>
    <cfRule type="expression" priority="121" dxfId="56" stopIfTrue="1">
      <formula>AND(T114&gt;=25,S114&gt;=60,S114&lt;=65)</formula>
    </cfRule>
  </conditionalFormatting>
  <conditionalFormatting sqref="BS31:BX44">
    <cfRule type="expression" priority="122" dxfId="72" stopIfTrue="1">
      <formula>$BV31=0</formula>
    </cfRule>
    <cfRule type="expression" priority="123" dxfId="70" stopIfTrue="1">
      <formula>AND(BS31&gt;0,$CD30=$CB31)</formula>
    </cfRule>
    <cfRule type="expression" priority="124" dxfId="70" stopIfTrue="1">
      <formula>AND(BS31&gt;0,$CD31=$CB32)</formula>
    </cfRule>
  </conditionalFormatting>
  <conditionalFormatting sqref="N71:Q113">
    <cfRule type="expression" priority="131" dxfId="69" stopIfTrue="1">
      <formula>OR(AND($S$5="公務人員",$R71&lt;90),AND($S$5="高中以下教師",$R71&lt;90))</formula>
    </cfRule>
  </conditionalFormatting>
  <conditionalFormatting sqref="B41:B45">
    <cfRule type="expression" priority="140" dxfId="76" stopIfTrue="1">
      <formula>OR(AND($S$5="公務人員",$R41&lt;90),AND($S$5="高中以下教師",$R41&lt;85))</formula>
    </cfRule>
  </conditionalFormatting>
  <conditionalFormatting sqref="V71:V113">
    <cfRule type="cellIs" priority="142" dxfId="77" operator="equal" stopIfTrue="1">
      <formula>"★"</formula>
    </cfRule>
  </conditionalFormatting>
  <conditionalFormatting sqref="W31:W70">
    <cfRule type="cellIs" priority="111" dxfId="78" operator="equal" stopIfTrue="1">
      <formula>"已符基本條件，請參閱上方【分析結果】"</formula>
    </cfRule>
  </conditionalFormatting>
  <conditionalFormatting sqref="Z31:AF31 Z32:Z70 AD31:AD36 AB31:AB113 AA32:AF113">
    <cfRule type="cellIs" priority="95" dxfId="79" operator="equal" stopIfTrue="1">
      <formula>"●"</formula>
    </cfRule>
  </conditionalFormatting>
  <conditionalFormatting sqref="AM31:AM113">
    <cfRule type="cellIs" priority="94" dxfId="60" operator="lessThan" stopIfTrue="1">
      <formula>0</formula>
    </cfRule>
  </conditionalFormatting>
  <conditionalFormatting sqref="AH31:AL113">
    <cfRule type="cellIs" priority="91" dxfId="60" operator="lessThan" stopIfTrue="1">
      <formula>0</formula>
    </cfRule>
  </conditionalFormatting>
  <conditionalFormatting sqref="AH31:AL113">
    <cfRule type="cellIs" priority="90" dxfId="80" operator="equal" stopIfTrue="1">
      <formula>"●"</formula>
    </cfRule>
  </conditionalFormatting>
  <conditionalFormatting sqref="AG31:AG113">
    <cfRule type="cellIs" priority="88" dxfId="60" operator="lessThan" stopIfTrue="1">
      <formula>0</formula>
    </cfRule>
  </conditionalFormatting>
  <conditionalFormatting sqref="AG31:AG113">
    <cfRule type="cellIs" priority="87" dxfId="80" operator="equal" stopIfTrue="1">
      <formula>"●"</formula>
    </cfRule>
  </conditionalFormatting>
  <conditionalFormatting sqref="AH114:AL114">
    <cfRule type="expression" priority="85" dxfId="57" stopIfTrue="1">
      <formula>AND(S114&gt;=30,R114&gt;=55,R114&lt;=60)</formula>
    </cfRule>
    <cfRule type="expression" priority="86" dxfId="56" stopIfTrue="1">
      <formula>AND(S114&gt;=25,R114&gt;=60,R114&lt;=65)</formula>
    </cfRule>
  </conditionalFormatting>
  <conditionalFormatting sqref="AG114">
    <cfRule type="expression" priority="83" dxfId="57" stopIfTrue="1">
      <formula>AND(R114&gt;=30,Q114&gt;=55,Q114&lt;=60)</formula>
    </cfRule>
    <cfRule type="expression" priority="84" dxfId="56" stopIfTrue="1">
      <formula>AND(R114&gt;=25,Q114&gt;=60,Q114&lt;=65)</formula>
    </cfRule>
  </conditionalFormatting>
  <conditionalFormatting sqref="P20">
    <cfRule type="expression" priority="81" dxfId="81" stopIfTrue="1">
      <formula>RIGHT($P$20,1)="度"</formula>
    </cfRule>
  </conditionalFormatting>
  <conditionalFormatting sqref="P19">
    <cfRule type="expression" priority="80" dxfId="81" stopIfTrue="1">
      <formula>RIGHT($P$19,1)="度"</formula>
    </cfRule>
  </conditionalFormatting>
  <conditionalFormatting sqref="P24">
    <cfRule type="expression" priority="75" dxfId="81" stopIfTrue="1">
      <formula>RIGHT($P$24,1)="度"</formula>
    </cfRule>
  </conditionalFormatting>
  <conditionalFormatting sqref="AH9:AL9">
    <cfRule type="expression" priority="73" dxfId="82" stopIfTrue="1">
      <formula>$S$9+$U$9+$W$9+$S$10+$U$10+$W$10=0</formula>
    </cfRule>
  </conditionalFormatting>
  <conditionalFormatting sqref="AJ8:AL8">
    <cfRule type="expression" priority="72" dxfId="82" stopIfTrue="1">
      <formula>$S$9+$U$9+$W$9+$S$10+$U$10+$W$10=0</formula>
    </cfRule>
  </conditionalFormatting>
  <conditionalFormatting sqref="AJ7:AL7">
    <cfRule type="expression" priority="71" dxfId="82" stopIfTrue="1">
      <formula>$S$9+$U$9+$W$9+$S$10+$U$10+$W$10=0</formula>
    </cfRule>
  </conditionalFormatting>
  <conditionalFormatting sqref="AM7">
    <cfRule type="expression" priority="70" dxfId="82" stopIfTrue="1">
      <formula>$S$9+$U$9+$W$9+$S$10+$U$10+$W$10=0</formula>
    </cfRule>
  </conditionalFormatting>
  <conditionalFormatting sqref="AM8">
    <cfRule type="expression" priority="69" dxfId="82" stopIfTrue="1">
      <formula>$S$9+$U$9+$W$9+$S$10+$U$10+$W$10=0</formula>
    </cfRule>
  </conditionalFormatting>
  <conditionalFormatting sqref="AM9">
    <cfRule type="expression" priority="68" dxfId="82" stopIfTrue="1">
      <formula>$S$9+$U$9+$W$9+$S$10+$U$10+$W$10=0</formula>
    </cfRule>
  </conditionalFormatting>
  <conditionalFormatting sqref="W31:Y70">
    <cfRule type="cellIs" priority="53" dxfId="83" operator="equal" stopIfTrue="1">
      <formula>"★ 您自本區間起，達到屆齡退休限齡"</formula>
    </cfRule>
    <cfRule type="cellIs" priority="66" dxfId="78" operator="equal" stopIfTrue="1">
      <formula>"已達法定指標，請參閱上方【分析結果】"</formula>
    </cfRule>
  </conditionalFormatting>
  <conditionalFormatting sqref="AB7">
    <cfRule type="expression" priority="64" dxfId="84" stopIfTrue="1">
      <formula>$S$9+$U$9+$W$9+$S$10+$U$10+$W$10=0</formula>
    </cfRule>
  </conditionalFormatting>
  <conditionalFormatting sqref="AB10:AG10">
    <cfRule type="expression" priority="63" dxfId="85" stopIfTrue="1">
      <formula>$S$9+$U$9+$W$9+$S$10+$U$10+$W$10=0</formula>
    </cfRule>
  </conditionalFormatting>
  <conditionalFormatting sqref="AE9:AG9">
    <cfRule type="expression" priority="62" dxfId="86" stopIfTrue="1">
      <formula>$S$9+$U$9+$W$9+$S$10+$U$10+$W$10=0</formula>
    </cfRule>
  </conditionalFormatting>
  <conditionalFormatting sqref="AM10">
    <cfRule type="expression" priority="61" dxfId="82" stopIfTrue="1">
      <formula>$S$9+$U$9+$W$9+$S$10+$U$10+$W$10=0</formula>
    </cfRule>
  </conditionalFormatting>
  <conditionalFormatting sqref="AA10">
    <cfRule type="expression" priority="49" dxfId="85" stopIfTrue="1">
      <formula>$S$9+$U$9+$W$9+$S$10+$U$10+$W$10=0</formula>
    </cfRule>
  </conditionalFormatting>
  <conditionalFormatting sqref="AA9">
    <cfRule type="expression" priority="48" dxfId="85" stopIfTrue="1">
      <formula>$S$9+$U$9+$W$9+$S$10+$U$10+$W$10=0</formula>
    </cfRule>
  </conditionalFormatting>
  <conditionalFormatting sqref="AA8">
    <cfRule type="expression" priority="47" dxfId="85" stopIfTrue="1">
      <formula>$S$9+$U$9+$W$9+$S$10+$U$10+$W$10=0</formula>
    </cfRule>
  </conditionalFormatting>
  <conditionalFormatting sqref="AA7">
    <cfRule type="expression" priority="46" dxfId="85" stopIfTrue="1">
      <formula>$S$9+$U$9+$W$9+$S$10+$U$10+$W$10=0</formula>
    </cfRule>
  </conditionalFormatting>
  <conditionalFormatting sqref="AB8">
    <cfRule type="expression" priority="45" dxfId="85" stopIfTrue="1">
      <formula>$S$9+$U$9+$W$9+$S$10+$U$10+$W$10=0</formula>
    </cfRule>
  </conditionalFormatting>
  <conditionalFormatting sqref="AD9">
    <cfRule type="expression" priority="42" dxfId="85" stopIfTrue="1">
      <formula>$S$9+$U$9+$W$9+$S$10+$U$10+$W$10=0</formula>
    </cfRule>
  </conditionalFormatting>
  <conditionalFormatting sqref="AC9">
    <cfRule type="expression" priority="41" dxfId="85" stopIfTrue="1">
      <formula>$S$9+$U$9+$W$9+$S$10+$U$10+$W$10=0</formula>
    </cfRule>
  </conditionalFormatting>
  <conditionalFormatting sqref="AB9">
    <cfRule type="expression" priority="40" dxfId="85" stopIfTrue="1">
      <formula>$S$9+$U$9+$W$9+$S$10+$U$10+$W$10=0</formula>
    </cfRule>
  </conditionalFormatting>
  <conditionalFormatting sqref="AE7:AG8">
    <cfRule type="expression" priority="39" dxfId="84" stopIfTrue="1">
      <formula>$S$9+$U$9+$W$9+$S$10+$U$10+$W$10=0</formula>
    </cfRule>
  </conditionalFormatting>
  <conditionalFormatting sqref="AG31:AG70">
    <cfRule type="expression" priority="37" dxfId="87" stopIfTrue="1">
      <formula>SUM($AG$31:$AG$70)=0</formula>
    </cfRule>
  </conditionalFormatting>
  <conditionalFormatting sqref="AH31:AH113">
    <cfRule type="expression" priority="35" dxfId="87" stopIfTrue="1">
      <formula>SUM($AH$31:$AH$70)=0</formula>
    </cfRule>
  </conditionalFormatting>
  <conditionalFormatting sqref="AI31:AI113">
    <cfRule type="expression" priority="34" dxfId="87" stopIfTrue="1">
      <formula>SUM($AI$31:$AI$70)=0</formula>
    </cfRule>
  </conditionalFormatting>
  <conditionalFormatting sqref="AJ31:AJ113">
    <cfRule type="expression" priority="33" dxfId="87" stopIfTrue="1">
      <formula>SUM($AJ$31:$AJ$70)=0</formula>
    </cfRule>
  </conditionalFormatting>
  <conditionalFormatting sqref="AK31:AK113">
    <cfRule type="expression" priority="32" dxfId="87" stopIfTrue="1">
      <formula>SUM($AK$31:$AK$70)=0</formula>
    </cfRule>
  </conditionalFormatting>
  <conditionalFormatting sqref="AL31:AL113">
    <cfRule type="expression" priority="31" dxfId="87" stopIfTrue="1">
      <formula>SUM($AL$31:$AL$70)=0</formula>
    </cfRule>
  </conditionalFormatting>
  <conditionalFormatting sqref="AM31:AM113">
    <cfRule type="expression" priority="30" dxfId="87" stopIfTrue="1">
      <formula>SUM($AM$31:$AM$70)=0</formula>
    </cfRule>
  </conditionalFormatting>
  <conditionalFormatting sqref="CA31:CA44">
    <cfRule type="expression" priority="29" dxfId="88" stopIfTrue="1">
      <formula>$C31=0</formula>
    </cfRule>
  </conditionalFormatting>
  <conditionalFormatting sqref="W31:Y70">
    <cfRule type="cellIs" priority="28" dxfId="89" operator="equal" stopIfTrue="1">
      <formula>"不符!!"</formula>
    </cfRule>
  </conditionalFormatting>
  <conditionalFormatting sqref="W70:Y70">
    <cfRule type="cellIs" priority="27" dxfId="89" operator="equal" stopIfTrue="1">
      <formula>"不符"</formula>
    </cfRule>
  </conditionalFormatting>
  <conditionalFormatting sqref="Z31:Z70">
    <cfRule type="expression" priority="26" dxfId="90" stopIfTrue="1">
      <formula>B31&gt;$EK$7</formula>
    </cfRule>
  </conditionalFormatting>
  <conditionalFormatting sqref="AA31:AA113">
    <cfRule type="expression" priority="25" dxfId="90" stopIfTrue="1">
      <formula>B31&gt;$EK$7</formula>
    </cfRule>
  </conditionalFormatting>
  <conditionalFormatting sqref="AB31:AB113">
    <cfRule type="expression" priority="24" dxfId="90" stopIfTrue="1">
      <formula>B31&gt;$EK$7</formula>
    </cfRule>
  </conditionalFormatting>
  <conditionalFormatting sqref="AC31:AC113">
    <cfRule type="expression" priority="23" dxfId="90" stopIfTrue="1">
      <formula>B31&gt;$EK$7</formula>
    </cfRule>
  </conditionalFormatting>
  <conditionalFormatting sqref="AD31:AD113">
    <cfRule type="expression" priority="22" dxfId="90" stopIfTrue="1">
      <formula>B31&gt;$EK$7</formula>
    </cfRule>
  </conditionalFormatting>
  <conditionalFormatting sqref="AE31:AE113">
    <cfRule type="expression" priority="21" dxfId="90" stopIfTrue="1">
      <formula>B31&gt;$EK$7</formula>
    </cfRule>
  </conditionalFormatting>
  <conditionalFormatting sqref="AF31:AF113">
    <cfRule type="expression" priority="20" dxfId="90" stopIfTrue="1">
      <formula>B31&gt;$EK$7</formula>
    </cfRule>
  </conditionalFormatting>
  <conditionalFormatting sqref="AG31:AG70">
    <cfRule type="expression" priority="19" dxfId="90" stopIfTrue="1">
      <formula>B31&gt;$EK$7</formula>
    </cfRule>
  </conditionalFormatting>
  <conditionalFormatting sqref="AH31:AH70">
    <cfRule type="expression" priority="18" dxfId="90" stopIfTrue="1">
      <formula>B31&gt;$EK$7</formula>
    </cfRule>
  </conditionalFormatting>
  <conditionalFormatting sqref="AI31:AI70">
    <cfRule type="expression" priority="17" dxfId="90" stopIfTrue="1">
      <formula>B31&gt;$EK$7</formula>
    </cfRule>
  </conditionalFormatting>
  <conditionalFormatting sqref="AJ31:AJ70">
    <cfRule type="expression" priority="16" dxfId="90" stopIfTrue="1">
      <formula>B31&gt;$EK$7</formula>
    </cfRule>
  </conditionalFormatting>
  <conditionalFormatting sqref="AK31:AK70">
    <cfRule type="expression" priority="15" dxfId="90" stopIfTrue="1">
      <formula>B31&gt;$EK$7</formula>
    </cfRule>
  </conditionalFormatting>
  <conditionalFormatting sqref="AL31:AL70">
    <cfRule type="expression" priority="14" dxfId="90" stopIfTrue="1">
      <formula>B31&gt;$EK$7</formula>
    </cfRule>
  </conditionalFormatting>
  <conditionalFormatting sqref="AM31:AM70">
    <cfRule type="expression" priority="12" dxfId="90" stopIfTrue="1">
      <formula>B31&gt;$EK$7</formula>
    </cfRule>
  </conditionalFormatting>
  <conditionalFormatting sqref="AG31:AG70">
    <cfRule type="cellIs" priority="8" dxfId="91" operator="equal" stopIfTrue="1">
      <formula>"★"</formula>
    </cfRule>
  </conditionalFormatting>
  <conditionalFormatting sqref="AH31:AH70">
    <cfRule type="cellIs" priority="7" dxfId="91" operator="equal" stopIfTrue="1">
      <formula>"★"</formula>
    </cfRule>
  </conditionalFormatting>
  <conditionalFormatting sqref="AI31:AI70">
    <cfRule type="cellIs" priority="6" dxfId="91" operator="equal" stopIfTrue="1">
      <formula>"★"</formula>
    </cfRule>
  </conditionalFormatting>
  <conditionalFormatting sqref="AJ31:AJ70">
    <cfRule type="cellIs" priority="5" dxfId="91" operator="equal" stopIfTrue="1">
      <formula>"★"</formula>
    </cfRule>
  </conditionalFormatting>
  <conditionalFormatting sqref="AK31:AK70">
    <cfRule type="cellIs" priority="4" dxfId="91" operator="equal" stopIfTrue="1">
      <formula>"★"</formula>
    </cfRule>
  </conditionalFormatting>
  <conditionalFormatting sqref="AL31:AL70">
    <cfRule type="cellIs" priority="3" dxfId="91" operator="equal" stopIfTrue="1">
      <formula>"★"</formula>
    </cfRule>
  </conditionalFormatting>
  <conditionalFormatting sqref="AM31:AM70">
    <cfRule type="cellIs" priority="2" dxfId="91" operator="equal" stopIfTrue="1">
      <formula>"★"</formula>
    </cfRule>
  </conditionalFormatting>
  <conditionalFormatting sqref="Z31:AF70 AA32:AF113">
    <cfRule type="cellIs" priority="1" dxfId="92" operator="equal" stopIfTrue="1">
      <formula>"○"</formula>
    </cfRule>
  </conditionalFormatting>
  <dataValidations count="4">
    <dataValidation type="list" allowBlank="1" showInputMessage="1" showErrorMessage="1" sqref="AO5">
      <formula1>"公務人員,教育人員"</formula1>
    </dataValidation>
    <dataValidation type="whole" operator="lessThan" allowBlank="1" showErrorMessage="1" errorTitle="日數不可大於或等於30" error="日數不可大於或等於30" sqref="W9">
      <formula1>30</formula1>
    </dataValidation>
    <dataValidation type="whole" operator="lessThan" allowBlank="1" showErrorMessage="1" errorTitle="日數不可大於30" error="日數不可大於30" sqref="W10">
      <formula1>30</formula1>
    </dataValidation>
    <dataValidation type="whole" operator="lessThan" allowBlank="1" showInputMessage="1" showErrorMessage="1" errorTitle="月數不可大於或等於12" error="月數不可大於或等於12" sqref="U9:U10">
      <formula1>12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200" verticalDpi="200" orientation="portrait" paperSize="8" scale="81" r:id="rId2"/>
  <ignoredErrors>
    <ignoredError sqref="O21 N21:N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svaluman</dc:creator>
  <cp:keywords/>
  <dc:description/>
  <cp:lastModifiedBy>aa6305</cp:lastModifiedBy>
  <cp:lastPrinted>2018-08-27T13:09:36Z</cp:lastPrinted>
  <dcterms:created xsi:type="dcterms:W3CDTF">2009-04-04T12:57:34Z</dcterms:created>
  <dcterms:modified xsi:type="dcterms:W3CDTF">2018-09-14T01:28:14Z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